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Лист1" sheetId="1" r:id="rId1"/>
    <sheet name="Лист7" sheetId="2" r:id="rId2"/>
    <sheet name="Лист6" sheetId="3" r:id="rId3"/>
    <sheet name="Лист2" sheetId="4" r:id="rId4"/>
    <sheet name="Лист3" sheetId="5" r:id="rId5"/>
    <sheet name="Лист4" sheetId="6" r:id="rId6"/>
    <sheet name="Лист5" sheetId="7" r:id="rId7"/>
  </sheets>
  <definedNames/>
  <calcPr fullCalcOnLoad="1"/>
</workbook>
</file>

<file path=xl/sharedStrings.xml><?xml version="1.0" encoding="utf-8"?>
<sst xmlns="http://schemas.openxmlformats.org/spreadsheetml/2006/main" count="461" uniqueCount="292">
  <si>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</si>
  <si>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</si>
  <si>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</si>
  <si>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</si>
  <si>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</si>
  <si>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</si>
  <si>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</si>
  <si>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</si>
  <si>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</si>
  <si>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</si>
  <si>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</si>
  <si>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</si>
  <si>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</si>
  <si>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</si>
  <si>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</si>
  <si>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</si>
  <si>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</si>
  <si>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</si>
  <si>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</si>
  <si>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</si>
  <si>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</si>
  <si>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</si>
  <si>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</si>
  <si>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</si>
  <si>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</si>
  <si>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</si>
  <si>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</si>
  <si>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</si>
  <si>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</si>
  <si>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</si>
  <si>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</si>
  <si>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</si>
  <si>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</si>
  <si>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</si>
  <si>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</si>
  <si>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</si>
  <si>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</si>
  <si>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</si>
  <si>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</si>
  <si>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</si>
  <si>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</si>
  <si>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</si>
  <si>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</si>
  <si>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</si>
  <si>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</si>
  <si>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</si>
  <si>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</si>
  <si>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</si>
  <si>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</si>
  <si>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</si>
  <si>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</si>
  <si>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</si>
  <si>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</si>
  <si>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</si>
  <si>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</si>
  <si>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</si>
  <si>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</si>
  <si>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</si>
  <si>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</si>
  <si>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</si>
  <si>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</si>
  <si>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</si>
  <si>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</si>
  <si>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</si>
  <si>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</si>
  <si>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</si>
  <si>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</si>
  <si>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</si>
  <si>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</si>
  <si>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</si>
  <si>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</si>
  <si>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</si>
  <si>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</si>
  <si>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</si>
  <si>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</si>
  <si>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</si>
  <si>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</si>
  <si>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</si>
  <si>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</si>
  <si>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</si>
  <si>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</si>
  <si>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</si>
  <si>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</si>
  <si>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</si>
  <si>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</si>
  <si>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</si>
  <si>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</si>
  <si>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</si>
  <si>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</si>
  <si>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</si>
  <si>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</si>
  <si>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</si>
  <si>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</si>
  <si>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</si>
  <si>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</si>
  <si>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</si>
  <si>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</si>
  <si>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</si>
  <si>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</si>
  <si>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</si>
  <si>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</si>
  <si>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</si>
  <si>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</si>
  <si>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</si>
  <si>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</si>
  <si>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</si>
  <si>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</si>
  <si>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</si>
  <si>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</si>
  <si>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</si>
  <si>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</si>
  <si>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</si>
  <si>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</si>
  <si>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</si>
  <si>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</si>
  <si>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</si>
  <si>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</si>
  <si>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</si>
  <si>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</si>
  <si>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</si>
  <si>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</si>
  <si>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</si>
  <si>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</si>
  <si>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</si>
  <si>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</si>
  <si>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</si>
  <si>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</si>
  <si>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</si>
  <si>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</si>
  <si>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</si>
  <si>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</si>
  <si>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</si>
  <si>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</si>
  <si>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</si>
  <si>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</si>
  <si>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</si>
  <si>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</si>
  <si>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</si>
  <si>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</si>
  <si>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</si>
  <si>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</si>
  <si>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</si>
  <si>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</si>
  <si>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</si>
  <si>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</si>
  <si>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</si>
  <si>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</si>
  <si>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</si>
  <si>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</si>
  <si>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</si>
  <si>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Приложение 2 к Порядку
составления и утверждения плана финансово-хозяйственной деятельности бюджетных и автономных учреждений, в отношении которых Управление физической культуры и спорта Орловской области осуществляет функции и полномочия учредителя, утвержденному приказом Управления физической культуры и спорта  Орловской области
«28» июня 2018 г. № 394</t>
  </si>
  <si>
    <t>Наименование учреждения                         ( наименование должности)</t>
  </si>
  <si>
    <t>Количество штатных единиц</t>
  </si>
  <si>
    <r>
      <t>Заработная плата (основной фонд)</t>
    </r>
    <r>
      <rPr>
        <b/>
        <i/>
        <sz val="9"/>
        <rFont val="Arial Cyr"/>
        <family val="0"/>
      </rPr>
      <t xml:space="preserve"> оклад</t>
    </r>
  </si>
  <si>
    <t xml:space="preserve">Компенсационные выплаты </t>
  </si>
  <si>
    <t xml:space="preserve">Стимулирующие выплаты  </t>
  </si>
  <si>
    <t>Доплата до МРОТ</t>
  </si>
  <si>
    <t>Месячный фонд оплаты труда</t>
  </si>
  <si>
    <t>Заработная плата на год,  ст. 211</t>
  </si>
  <si>
    <t>Начисления на оплату труда, ст. 213</t>
  </si>
  <si>
    <t xml:space="preserve">Оплата труда с начислениями, ст. 210 </t>
  </si>
  <si>
    <t>в том числе преподаватели</t>
  </si>
  <si>
    <t>преподаватели</t>
  </si>
  <si>
    <t>админ.,учебно-вспом.,обслуж. персонала</t>
  </si>
  <si>
    <t>БП ОУ ОО "Училище олимпийского резерва"</t>
  </si>
  <si>
    <t>Генеральный директор</t>
  </si>
  <si>
    <t>Заместитель генерального</t>
  </si>
  <si>
    <t>директора по административно-</t>
  </si>
  <si>
    <t>хозяйственной работе</t>
  </si>
  <si>
    <t>директора по учебно-</t>
  </si>
  <si>
    <t>спортивной работе</t>
  </si>
  <si>
    <t>Главный бухгалтер</t>
  </si>
  <si>
    <t>Начальник группы</t>
  </si>
  <si>
    <t>Бухгалтер</t>
  </si>
  <si>
    <t>Начальник экономического</t>
  </si>
  <si>
    <t>отдела</t>
  </si>
  <si>
    <t>Экономист по бухучету и</t>
  </si>
  <si>
    <t>анализу хозяйственной</t>
  </si>
  <si>
    <t>деятельности</t>
  </si>
  <si>
    <t>Экономист по труду</t>
  </si>
  <si>
    <t>Юрисконсульт</t>
  </si>
  <si>
    <t>Механик по ремонту</t>
  </si>
  <si>
    <t>транспорта</t>
  </si>
  <si>
    <t>Главный энергетик</t>
  </si>
  <si>
    <t>Контрактный управляющий</t>
  </si>
  <si>
    <t>Заведующий хозяйством</t>
  </si>
  <si>
    <t>Художник</t>
  </si>
  <si>
    <t>Делопроизводитель</t>
  </si>
  <si>
    <t>Водитель</t>
  </si>
  <si>
    <t xml:space="preserve">Техник по эксплуатации и </t>
  </si>
  <si>
    <t>ремонту оборудования</t>
  </si>
  <si>
    <t>Механик по техническим</t>
  </si>
  <si>
    <t>видам спорта</t>
  </si>
  <si>
    <t>Специалист по охране труда</t>
  </si>
  <si>
    <t>Инструктор-методист</t>
  </si>
  <si>
    <t>Педагог-психолог</t>
  </si>
  <si>
    <t>Заведующая</t>
  </si>
  <si>
    <t>очным отделением СПО</t>
  </si>
  <si>
    <t>Заведующая отделом по</t>
  </si>
  <si>
    <t>по спортивной работе СПО</t>
  </si>
  <si>
    <t xml:space="preserve">Заведующая отделом СПО </t>
  </si>
  <si>
    <t>по воспитательной работе</t>
  </si>
  <si>
    <t>Библиотекарь</t>
  </si>
  <si>
    <t>заочным отделением СПО</t>
  </si>
  <si>
    <t>Директор СШОР</t>
  </si>
  <si>
    <t xml:space="preserve">Заместитель директора </t>
  </si>
  <si>
    <t>СШОР</t>
  </si>
  <si>
    <t>Спортсмен-инструктор</t>
  </si>
  <si>
    <t>Директор САШОР</t>
  </si>
  <si>
    <t>Инструктор по адаптивной</t>
  </si>
  <si>
    <t>физической культуре</t>
  </si>
  <si>
    <t>Заведующий</t>
  </si>
  <si>
    <t>ЦЛФК и СМ</t>
  </si>
  <si>
    <t>Врач по лечебной физкультуре</t>
  </si>
  <si>
    <t>и спортивной медицине</t>
  </si>
  <si>
    <t>Врач терапевт</t>
  </si>
  <si>
    <t>Врач невролог</t>
  </si>
  <si>
    <t>Старшая</t>
  </si>
  <si>
    <t>медицинская сестра</t>
  </si>
  <si>
    <t xml:space="preserve">Медицинская сестра по </t>
  </si>
  <si>
    <t>массажу</t>
  </si>
  <si>
    <t>Медицинская сестра</t>
  </si>
  <si>
    <t>по физиотерапии</t>
  </si>
  <si>
    <t>Директор центра тестирования</t>
  </si>
  <si>
    <t>ФСК "ГТО"</t>
  </si>
  <si>
    <t>Программист</t>
  </si>
  <si>
    <t>Инструктор по физкультуре</t>
  </si>
  <si>
    <t>Заведующая общежитием</t>
  </si>
  <si>
    <t>Администратор</t>
  </si>
  <si>
    <t>Горничная</t>
  </si>
  <si>
    <t xml:space="preserve">Заведующий </t>
  </si>
  <si>
    <t>спортсооружением</t>
  </si>
  <si>
    <t xml:space="preserve">Инструктор по </t>
  </si>
  <si>
    <t>Электрогазосварщик</t>
  </si>
  <si>
    <t>Плотник</t>
  </si>
  <si>
    <t>Слесарь-сантехник</t>
  </si>
  <si>
    <t>Слесарь-электрик по</t>
  </si>
  <si>
    <t>ремонту и обслуживанию</t>
  </si>
  <si>
    <t>электрооборудования</t>
  </si>
  <si>
    <t>Ремонтировщик</t>
  </si>
  <si>
    <t>плоскостных спортивных</t>
  </si>
  <si>
    <t>сооружений</t>
  </si>
  <si>
    <t>Сторож</t>
  </si>
  <si>
    <t>Рабочий по комплексному</t>
  </si>
  <si>
    <t xml:space="preserve">обслуживанию и ремонту </t>
  </si>
  <si>
    <t>зданий</t>
  </si>
  <si>
    <t>спортивного оружия</t>
  </si>
  <si>
    <t>Дворник</t>
  </si>
  <si>
    <t>Директор ДСОЛ "Ветерок"</t>
  </si>
  <si>
    <t>Заместитель директора по</t>
  </si>
  <si>
    <t>культурно-массовой</t>
  </si>
  <si>
    <t>работе</t>
  </si>
  <si>
    <t>Заведующий складом</t>
  </si>
  <si>
    <t>твердого инвентаря</t>
  </si>
  <si>
    <t>Водитель автомобиля</t>
  </si>
  <si>
    <t>Водитель автобуса</t>
  </si>
  <si>
    <t>Электромонтер</t>
  </si>
  <si>
    <t>Маляр</t>
  </si>
  <si>
    <t>Грузчик</t>
  </si>
  <si>
    <t>Оператор котельной</t>
  </si>
  <si>
    <t>Слесарь котельной</t>
  </si>
  <si>
    <t>Заведующий производством</t>
  </si>
  <si>
    <t>Официант</t>
  </si>
  <si>
    <t>Кухонный рабочий</t>
  </si>
  <si>
    <t xml:space="preserve">Заведующий спальным </t>
  </si>
  <si>
    <t>корпусом</t>
  </si>
  <si>
    <t>Старшая медицинская сестра</t>
  </si>
  <si>
    <t>Тренер-преподаватель</t>
  </si>
  <si>
    <t>Воспитатель</t>
  </si>
  <si>
    <t>Методист</t>
  </si>
  <si>
    <t>Старший</t>
  </si>
  <si>
    <t xml:space="preserve">инструктор-методист </t>
  </si>
  <si>
    <t>Интсруктор-методист</t>
  </si>
  <si>
    <t>Методист учебно-методического</t>
  </si>
  <si>
    <t>кабинета</t>
  </si>
  <si>
    <t>Преподаватель</t>
  </si>
  <si>
    <t>Инструктор по физической</t>
  </si>
  <si>
    <t>Уборщик служебных</t>
  </si>
  <si>
    <t>помещений*</t>
  </si>
  <si>
    <t>Горничная*</t>
  </si>
  <si>
    <t>Медицинская сестра*</t>
  </si>
  <si>
    <t>Старший воспитатель*</t>
  </si>
  <si>
    <t>Воспитатель*</t>
  </si>
  <si>
    <t>Старший вожатый*</t>
  </si>
  <si>
    <t>Вожатый*</t>
  </si>
  <si>
    <t>Руководитель кружка*</t>
  </si>
  <si>
    <t>Инструктор по плаванию*</t>
  </si>
  <si>
    <t>культуре*</t>
  </si>
  <si>
    <t>Педагог-организатор*</t>
  </si>
  <si>
    <t>Музыкальный руководитель*</t>
  </si>
  <si>
    <t>111</t>
  </si>
  <si>
    <t>8060707П410370110611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</si>
</sst>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2" fillId="0" borderId="19" xfId="53" applyNumberFormat="1" applyFont="1" applyBorder="1" applyAlignment="1">
      <alignment horizontal="center" vertical="center" wrapText="1"/>
      <protection/>
    </xf>
    <xf numFmtId="0" fontId="12" fillId="0" borderId="20" xfId="53" applyNumberFormat="1" applyFont="1" applyBorder="1" applyAlignment="1">
      <alignment horizontal="center" vertical="center" wrapText="1"/>
      <protection/>
    </xf>
    <xf numFmtId="0" fontId="15" fillId="0" borderId="20" xfId="53" applyNumberFormat="1" applyFont="1" applyBorder="1" applyAlignment="1">
      <alignment horizontal="center" vertical="center" wrapText="1"/>
      <protection/>
    </xf>
    <xf numFmtId="0" fontId="16" fillId="0" borderId="19" xfId="53" applyNumberFormat="1" applyFont="1" applyBorder="1" applyAlignment="1">
      <alignment horizontal="center" vertical="center" wrapText="1"/>
      <protection/>
    </xf>
    <xf numFmtId="4" fontId="16" fillId="0" borderId="19" xfId="53" applyNumberFormat="1" applyFont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wrapText="1"/>
    </xf>
    <xf numFmtId="4" fontId="8" fillId="0" borderId="21" xfId="0" applyNumberFormat="1" applyFont="1" applyFill="1" applyBorder="1" applyAlignment="1">
      <alignment wrapText="1"/>
    </xf>
    <xf numFmtId="2" fontId="17" fillId="33" borderId="21" xfId="53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2" fontId="17" fillId="33" borderId="19" xfId="53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wrapText="1"/>
    </xf>
    <xf numFmtId="4" fontId="8" fillId="34" borderId="22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2" fontId="17" fillId="33" borderId="22" xfId="53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wrapText="1"/>
    </xf>
    <xf numFmtId="4" fontId="8" fillId="0" borderId="23" xfId="0" applyNumberFormat="1" applyFont="1" applyFill="1" applyBorder="1" applyAlignment="1">
      <alignment wrapText="1"/>
    </xf>
    <xf numFmtId="2" fontId="17" fillId="33" borderId="23" xfId="53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2" fontId="17" fillId="33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184" fontId="8" fillId="0" borderId="2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84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8" fillId="0" borderId="22" xfId="0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2" fontId="8" fillId="0" borderId="23" xfId="0" applyNumberFormat="1" applyFont="1" applyFill="1" applyBorder="1" applyAlignment="1">
      <alignment wrapText="1"/>
    </xf>
    <xf numFmtId="2" fontId="8" fillId="0" borderId="20" xfId="0" applyNumberFormat="1" applyFont="1" applyFill="1" applyBorder="1" applyAlignment="1">
      <alignment wrapText="1"/>
    </xf>
    <xf numFmtId="2" fontId="8" fillId="0" borderId="19" xfId="0" applyNumberFormat="1" applyFont="1" applyFill="1" applyBorder="1" applyAlignment="1">
      <alignment wrapText="1"/>
    </xf>
    <xf numFmtId="2" fontId="8" fillId="0" borderId="22" xfId="0" applyNumberFormat="1" applyFont="1" applyFill="1" applyBorder="1" applyAlignment="1">
      <alignment wrapText="1"/>
    </xf>
    <xf numFmtId="2" fontId="8" fillId="0" borderId="2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1" fontId="8" fillId="0" borderId="17" xfId="0" applyNumberFormat="1" applyFont="1" applyBorder="1" applyAlignment="1">
      <alignment horizontal="center"/>
    </xf>
    <xf numFmtId="0" fontId="8" fillId="0" borderId="23" xfId="0" applyFont="1" applyFill="1" applyBorder="1" applyAlignment="1">
      <alignment/>
    </xf>
    <xf numFmtId="1" fontId="8" fillId="0" borderId="14" xfId="0" applyNumberFormat="1" applyFont="1" applyBorder="1" applyAlignment="1">
      <alignment horizontal="center"/>
    </xf>
    <xf numFmtId="0" fontId="8" fillId="0" borderId="22" xfId="0" applyFont="1" applyFill="1" applyBorder="1" applyAlignment="1">
      <alignment/>
    </xf>
    <xf numFmtId="1" fontId="8" fillId="0" borderId="0" xfId="0" applyNumberFormat="1" applyFont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4" fontId="8" fillId="34" borderId="12" xfId="0" applyNumberFormat="1" applyFont="1" applyFill="1" applyBorder="1" applyAlignment="1">
      <alignment horizontal="right"/>
    </xf>
    <xf numFmtId="4" fontId="8" fillId="34" borderId="16" xfId="0" applyNumberFormat="1" applyFont="1" applyFill="1" applyBorder="1" applyAlignment="1">
      <alignment horizontal="right"/>
    </xf>
    <xf numFmtId="4" fontId="8" fillId="34" borderId="17" xfId="0" applyNumberFormat="1" applyFont="1" applyFill="1" applyBorder="1" applyAlignment="1">
      <alignment horizontal="right"/>
    </xf>
    <xf numFmtId="4" fontId="8" fillId="34" borderId="18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34" borderId="13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 horizontal="right"/>
    </xf>
    <xf numFmtId="4" fontId="8" fillId="34" borderId="15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13" fillId="0" borderId="20" xfId="0" applyFont="1" applyBorder="1" applyAlignment="1">
      <alignment horizontal="center" wrapText="1"/>
    </xf>
    <xf numFmtId="0" fontId="12" fillId="0" borderId="20" xfId="53" applyNumberFormat="1" applyFont="1" applyBorder="1" applyAlignment="1">
      <alignment horizontal="center" vertical="center" wrapText="1"/>
      <protection/>
    </xf>
    <xf numFmtId="0" fontId="12" fillId="0" borderId="19" xfId="53" applyNumberFormat="1" applyFont="1" applyBorder="1" applyAlignment="1">
      <alignment horizontal="center" vertical="center" wrapText="1"/>
      <protection/>
    </xf>
    <xf numFmtId="0" fontId="12" fillId="0" borderId="23" xfId="53" applyNumberFormat="1" applyFont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5" fillId="0" borderId="11" xfId="53" applyNumberFormat="1" applyFont="1" applyBorder="1" applyAlignment="1">
      <alignment horizontal="center" vertical="center" wrapText="1"/>
      <protection/>
    </xf>
    <xf numFmtId="0" fontId="15" fillId="0" borderId="12" xfId="53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H61"/>
  <sheetViews>
    <sheetView tabSelected="1" workbookViewId="0" topLeftCell="A10">
      <selection activeCell="CY13" sqref="CY13"/>
    </sheetView>
  </sheetViews>
  <sheetFormatPr defaultColWidth="1.12109375" defaultRowHeight="12.75"/>
  <cols>
    <col min="1" max="18" width="1.12109375" style="1" customWidth="1"/>
    <col min="19" max="19" width="3.75390625" style="1" customWidth="1"/>
    <col min="20" max="20" width="7.875" style="1" customWidth="1"/>
    <col min="21" max="137" width="1.12109375" style="1" customWidth="1"/>
    <col min="138" max="138" width="8.75390625" style="1" bestFit="1" customWidth="1"/>
    <col min="139" max="16384" width="1.12109375" style="1" customWidth="1"/>
  </cols>
  <sheetData>
    <row r="1" s="2" customFormat="1" ht="11.25">
      <c r="DS1" s="3"/>
    </row>
    <row r="2" spans="84:123" s="2" customFormat="1" ht="92.25" customHeight="1">
      <c r="CF2" s="113" t="s">
        <v>150</v>
      </c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</row>
    <row r="4" spans="1:123" s="5" customFormat="1" ht="15.7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</row>
    <row r="5" spans="1:123" s="8" customFormat="1" ht="9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5" customFormat="1" ht="15.75">
      <c r="A6" s="139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="9" customFormat="1" ht="12.75"/>
    <row r="8" spans="1:123" ht="15.75">
      <c r="A8" s="5" t="s">
        <v>2</v>
      </c>
      <c r="T8" s="140" t="s">
        <v>290</v>
      </c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</row>
    <row r="9" spans="1:123" s="6" customFormat="1" ht="9.75">
      <c r="A9" s="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</row>
    <row r="10" spans="1:123" ht="15.75">
      <c r="A10" s="5" t="s">
        <v>3</v>
      </c>
      <c r="AH10" s="141" t="s">
        <v>291</v>
      </c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</row>
    <row r="12" spans="1:123" ht="15.75">
      <c r="A12" s="139" t="s">
        <v>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</row>
    <row r="13" s="9" customFormat="1" ht="12.75"/>
    <row r="14" spans="1:123" s="9" customFormat="1" ht="12.75">
      <c r="A14" s="126" t="s">
        <v>5</v>
      </c>
      <c r="B14" s="127"/>
      <c r="C14" s="127"/>
      <c r="D14" s="128"/>
      <c r="E14" s="126" t="s">
        <v>7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126" t="s">
        <v>27</v>
      </c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/>
      <c r="AG14" s="120" t="s">
        <v>10</v>
      </c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2"/>
      <c r="CK14" s="126" t="s">
        <v>20</v>
      </c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  <c r="CV14" s="126" t="s">
        <v>23</v>
      </c>
      <c r="CW14" s="127"/>
      <c r="CX14" s="127"/>
      <c r="CY14" s="127"/>
      <c r="CZ14" s="127"/>
      <c r="DA14" s="127"/>
      <c r="DB14" s="127"/>
      <c r="DC14" s="127"/>
      <c r="DD14" s="127"/>
      <c r="DE14" s="128"/>
      <c r="DF14" s="126" t="s">
        <v>25</v>
      </c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8"/>
    </row>
    <row r="15" spans="1:123" s="9" customFormat="1" ht="12.75">
      <c r="A15" s="117" t="s">
        <v>6</v>
      </c>
      <c r="B15" s="118"/>
      <c r="C15" s="118"/>
      <c r="D15" s="119"/>
      <c r="E15" s="117" t="s">
        <v>8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17" t="s">
        <v>28</v>
      </c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/>
      <c r="AG15" s="126" t="s">
        <v>11</v>
      </c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8"/>
      <c r="AU15" s="120" t="s">
        <v>12</v>
      </c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2"/>
      <c r="CK15" s="117" t="s">
        <v>21</v>
      </c>
      <c r="CL15" s="118"/>
      <c r="CM15" s="118"/>
      <c r="CN15" s="118"/>
      <c r="CO15" s="118"/>
      <c r="CP15" s="118"/>
      <c r="CQ15" s="118"/>
      <c r="CR15" s="118"/>
      <c r="CS15" s="118"/>
      <c r="CT15" s="118"/>
      <c r="CU15" s="119"/>
      <c r="CV15" s="117" t="s">
        <v>24</v>
      </c>
      <c r="CW15" s="118"/>
      <c r="CX15" s="118"/>
      <c r="CY15" s="118"/>
      <c r="CZ15" s="118"/>
      <c r="DA15" s="118"/>
      <c r="DB15" s="118"/>
      <c r="DC15" s="118"/>
      <c r="DD15" s="118"/>
      <c r="DE15" s="119"/>
      <c r="DF15" s="117" t="s">
        <v>26</v>
      </c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9"/>
    </row>
    <row r="16" spans="1:123" s="9" customFormat="1" ht="12.75">
      <c r="A16" s="117"/>
      <c r="B16" s="118"/>
      <c r="C16" s="118"/>
      <c r="D16" s="119"/>
      <c r="E16" s="117" t="s">
        <v>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17" t="s">
        <v>29</v>
      </c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9"/>
      <c r="AU16" s="126" t="s">
        <v>13</v>
      </c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8"/>
      <c r="BI16" s="126" t="s">
        <v>16</v>
      </c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8"/>
      <c r="BW16" s="126" t="s">
        <v>16</v>
      </c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8"/>
      <c r="CK16" s="117" t="s">
        <v>14</v>
      </c>
      <c r="CL16" s="118"/>
      <c r="CM16" s="118"/>
      <c r="CN16" s="118"/>
      <c r="CO16" s="118"/>
      <c r="CP16" s="118"/>
      <c r="CQ16" s="118"/>
      <c r="CR16" s="118"/>
      <c r="CS16" s="118"/>
      <c r="CT16" s="118"/>
      <c r="CU16" s="119"/>
      <c r="CV16" s="117"/>
      <c r="CW16" s="118"/>
      <c r="CX16" s="118"/>
      <c r="CY16" s="118"/>
      <c r="CZ16" s="118"/>
      <c r="DA16" s="118"/>
      <c r="DB16" s="118"/>
      <c r="DC16" s="118"/>
      <c r="DD16" s="118"/>
      <c r="DE16" s="119"/>
      <c r="DF16" s="117" t="s">
        <v>136</v>
      </c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9" customFormat="1" ht="12.75">
      <c r="A17" s="117"/>
      <c r="B17" s="118"/>
      <c r="C17" s="118"/>
      <c r="D17" s="119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17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  <c r="AG17" s="117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117" t="s">
        <v>14</v>
      </c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9"/>
      <c r="BI17" s="117" t="s">
        <v>17</v>
      </c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117" t="s">
        <v>19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9"/>
      <c r="CK17" s="117" t="s">
        <v>22</v>
      </c>
      <c r="CL17" s="118"/>
      <c r="CM17" s="118"/>
      <c r="CN17" s="118"/>
      <c r="CO17" s="118"/>
      <c r="CP17" s="118"/>
      <c r="CQ17" s="118"/>
      <c r="CR17" s="118"/>
      <c r="CS17" s="118"/>
      <c r="CT17" s="118"/>
      <c r="CU17" s="119"/>
      <c r="CV17" s="117"/>
      <c r="CW17" s="118"/>
      <c r="CX17" s="118"/>
      <c r="CY17" s="118"/>
      <c r="CZ17" s="118"/>
      <c r="DA17" s="118"/>
      <c r="DB17" s="118"/>
      <c r="DC17" s="118"/>
      <c r="DD17" s="118"/>
      <c r="DE17" s="119"/>
      <c r="DF17" s="117" t="s">
        <v>137</v>
      </c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9" customFormat="1" ht="12.75">
      <c r="A18" s="117"/>
      <c r="B18" s="118"/>
      <c r="C18" s="118"/>
      <c r="D18" s="119"/>
      <c r="E18" s="117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7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9"/>
      <c r="AG18" s="117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9"/>
      <c r="AU18" s="117" t="s">
        <v>15</v>
      </c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9"/>
      <c r="BI18" s="117" t="s">
        <v>18</v>
      </c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17" t="s">
        <v>18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9"/>
      <c r="CK18" s="117"/>
      <c r="CL18" s="118"/>
      <c r="CM18" s="118"/>
      <c r="CN18" s="118"/>
      <c r="CO18" s="118"/>
      <c r="CP18" s="118"/>
      <c r="CQ18" s="118"/>
      <c r="CR18" s="118"/>
      <c r="CS18" s="118"/>
      <c r="CT18" s="118"/>
      <c r="CU18" s="119"/>
      <c r="CV18" s="117"/>
      <c r="CW18" s="118"/>
      <c r="CX18" s="118"/>
      <c r="CY18" s="118"/>
      <c r="CZ18" s="118"/>
      <c r="DA18" s="118"/>
      <c r="DB18" s="118"/>
      <c r="DC18" s="118"/>
      <c r="DD18" s="118"/>
      <c r="DE18" s="119"/>
      <c r="DF18" s="117" t="s">
        <v>138</v>
      </c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9" customFormat="1" ht="12.75">
      <c r="A19" s="120">
        <v>1</v>
      </c>
      <c r="B19" s="121"/>
      <c r="C19" s="121"/>
      <c r="D19" s="122"/>
      <c r="E19" s="120">
        <v>2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120">
        <v>3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  <c r="AG19" s="120">
        <v>4</v>
      </c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2"/>
      <c r="AU19" s="120">
        <v>5</v>
      </c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2"/>
      <c r="BI19" s="120">
        <v>6</v>
      </c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>
        <v>7</v>
      </c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2"/>
      <c r="CK19" s="120">
        <v>8</v>
      </c>
      <c r="CL19" s="121"/>
      <c r="CM19" s="121"/>
      <c r="CN19" s="121"/>
      <c r="CO19" s="121"/>
      <c r="CP19" s="121"/>
      <c r="CQ19" s="121"/>
      <c r="CR19" s="121"/>
      <c r="CS19" s="121"/>
      <c r="CT19" s="121"/>
      <c r="CU19" s="122"/>
      <c r="CV19" s="120">
        <v>9</v>
      </c>
      <c r="CW19" s="121"/>
      <c r="CX19" s="121"/>
      <c r="CY19" s="121"/>
      <c r="CZ19" s="121"/>
      <c r="DA19" s="121"/>
      <c r="DB19" s="121"/>
      <c r="DC19" s="121"/>
      <c r="DD19" s="121"/>
      <c r="DE19" s="122"/>
      <c r="DF19" s="120">
        <v>10</v>
      </c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2"/>
    </row>
    <row r="20" spans="1:123" s="9" customFormat="1" ht="12.75">
      <c r="A20" s="14"/>
      <c r="B20" s="10"/>
      <c r="C20" s="10"/>
      <c r="D20" s="15"/>
      <c r="E20" s="114" t="str">
        <f>Лист7!A96</f>
        <v>Директор ДСОЛ "Ветерок"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  <c r="U20" s="103">
        <f>Лист7!B96</f>
        <v>1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9">
        <f>AU20+BI20+BW20</f>
        <v>5748.75</v>
      </c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1"/>
      <c r="AU20" s="109">
        <f>DF20/3/U20</f>
        <v>5748.75</v>
      </c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6"/>
      <c r="BI20" s="109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6"/>
      <c r="BW20" s="109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6"/>
      <c r="CK20" s="112"/>
      <c r="CL20" s="110"/>
      <c r="CM20" s="110"/>
      <c r="CN20" s="110"/>
      <c r="CO20" s="110"/>
      <c r="CP20" s="110"/>
      <c r="CQ20" s="110"/>
      <c r="CR20" s="110"/>
      <c r="CS20" s="110"/>
      <c r="CT20" s="110"/>
      <c r="CU20" s="111"/>
      <c r="CV20" s="112"/>
      <c r="CW20" s="110"/>
      <c r="CX20" s="110"/>
      <c r="CY20" s="110"/>
      <c r="CZ20" s="110"/>
      <c r="DA20" s="110"/>
      <c r="DB20" s="110"/>
      <c r="DC20" s="110"/>
      <c r="DD20" s="110"/>
      <c r="DE20" s="111"/>
      <c r="DF20" s="109">
        <v>17246.25</v>
      </c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6"/>
    </row>
    <row r="21" spans="1:123" s="9" customFormat="1" ht="12.75">
      <c r="A21" s="19"/>
      <c r="B21" s="20"/>
      <c r="C21" s="20"/>
      <c r="D21" s="21"/>
      <c r="E21" s="123" t="str">
        <f>Лист7!A97</f>
        <v>Заместитель директора по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  <c r="U21" s="129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1"/>
      <c r="AG21" s="132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4"/>
      <c r="AU21" s="132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8"/>
      <c r="BI21" s="132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8"/>
      <c r="BW21" s="132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8"/>
      <c r="CK21" s="142"/>
      <c r="CL21" s="133"/>
      <c r="CM21" s="133"/>
      <c r="CN21" s="133"/>
      <c r="CO21" s="133"/>
      <c r="CP21" s="133"/>
      <c r="CQ21" s="133"/>
      <c r="CR21" s="133"/>
      <c r="CS21" s="133"/>
      <c r="CT21" s="133"/>
      <c r="CU21" s="134"/>
      <c r="CV21" s="142"/>
      <c r="CW21" s="133"/>
      <c r="CX21" s="133"/>
      <c r="CY21" s="133"/>
      <c r="CZ21" s="133"/>
      <c r="DA21" s="133"/>
      <c r="DB21" s="133"/>
      <c r="DC21" s="133"/>
      <c r="DD21" s="133"/>
      <c r="DE21" s="134"/>
      <c r="DF21" s="132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8"/>
    </row>
    <row r="22" spans="1:123" s="9" customFormat="1" ht="12.75">
      <c r="A22" s="99"/>
      <c r="B22" s="100"/>
      <c r="C22" s="100"/>
      <c r="D22" s="101"/>
      <c r="E22" s="161" t="str">
        <f>Лист7!A98</f>
        <v>культурно-массовой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164">
        <f>Лист7!B98</f>
        <v>1</v>
      </c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6"/>
      <c r="AG22" s="167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9"/>
      <c r="AU22" s="167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1"/>
      <c r="BI22" s="167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1"/>
      <c r="BW22" s="167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72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  <c r="CV22" s="172"/>
      <c r="CW22" s="168"/>
      <c r="CX22" s="168"/>
      <c r="CY22" s="168"/>
      <c r="CZ22" s="168"/>
      <c r="DA22" s="168"/>
      <c r="DB22" s="168"/>
      <c r="DC22" s="168"/>
      <c r="DD22" s="168"/>
      <c r="DE22" s="169"/>
      <c r="DF22" s="167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1"/>
    </row>
    <row r="23" spans="1:123" s="9" customFormat="1" ht="12.75">
      <c r="A23" s="16"/>
      <c r="B23" s="17"/>
      <c r="C23" s="17"/>
      <c r="D23" s="18"/>
      <c r="E23" s="152" t="str">
        <f>Лист7!A99</f>
        <v>работе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/>
      <c r="U23" s="10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8"/>
      <c r="AG23" s="155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7"/>
      <c r="BI23" s="155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7"/>
      <c r="CK23" s="143"/>
      <c r="CL23" s="144"/>
      <c r="CM23" s="144"/>
      <c r="CN23" s="144"/>
      <c r="CO23" s="144"/>
      <c r="CP23" s="144"/>
      <c r="CQ23" s="144"/>
      <c r="CR23" s="144"/>
      <c r="CS23" s="144"/>
      <c r="CT23" s="144"/>
      <c r="CU23" s="145"/>
      <c r="CV23" s="143"/>
      <c r="CW23" s="144"/>
      <c r="CX23" s="144"/>
      <c r="CY23" s="144"/>
      <c r="CZ23" s="144"/>
      <c r="DA23" s="144"/>
      <c r="DB23" s="144"/>
      <c r="DC23" s="144"/>
      <c r="DD23" s="144"/>
      <c r="DE23" s="145"/>
      <c r="DF23" s="155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7"/>
    </row>
    <row r="24" spans="1:123" s="9" customFormat="1" ht="12.75">
      <c r="A24" s="14"/>
      <c r="B24" s="10"/>
      <c r="C24" s="10"/>
      <c r="D24" s="15"/>
      <c r="E24" s="114" t="str">
        <f>Лист7!A100</f>
        <v>Бухгалтер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  <c r="U24" s="103">
        <f>Лист7!B100</f>
        <v>1</v>
      </c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10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1"/>
      <c r="AU24" s="109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6"/>
      <c r="BI24" s="109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6"/>
      <c r="BW24" s="109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6"/>
      <c r="CK24" s="112"/>
      <c r="CL24" s="110"/>
      <c r="CM24" s="110"/>
      <c r="CN24" s="110"/>
      <c r="CO24" s="110"/>
      <c r="CP24" s="110"/>
      <c r="CQ24" s="110"/>
      <c r="CR24" s="110"/>
      <c r="CS24" s="110"/>
      <c r="CT24" s="110"/>
      <c r="CU24" s="111"/>
      <c r="CV24" s="112"/>
      <c r="CW24" s="110"/>
      <c r="CX24" s="110"/>
      <c r="CY24" s="110"/>
      <c r="CZ24" s="110"/>
      <c r="DA24" s="110"/>
      <c r="DB24" s="110"/>
      <c r="DC24" s="110"/>
      <c r="DD24" s="110"/>
      <c r="DE24" s="111"/>
      <c r="DF24" s="109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6"/>
    </row>
    <row r="25" spans="1:123" s="9" customFormat="1" ht="12.75">
      <c r="A25" s="19"/>
      <c r="B25" s="20"/>
      <c r="C25" s="20"/>
      <c r="D25" s="21"/>
      <c r="E25" s="123" t="str">
        <f>Лист7!A101</f>
        <v>Заведующий складом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U25" s="129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1"/>
      <c r="AG25" s="132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4"/>
      <c r="AU25" s="132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8"/>
      <c r="BI25" s="132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8"/>
      <c r="BW25" s="132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8"/>
      <c r="CK25" s="142"/>
      <c r="CL25" s="133"/>
      <c r="CM25" s="133"/>
      <c r="CN25" s="133"/>
      <c r="CO25" s="133"/>
      <c r="CP25" s="133"/>
      <c r="CQ25" s="133"/>
      <c r="CR25" s="133"/>
      <c r="CS25" s="133"/>
      <c r="CT25" s="133"/>
      <c r="CU25" s="134"/>
      <c r="CV25" s="142"/>
      <c r="CW25" s="133"/>
      <c r="CX25" s="133"/>
      <c r="CY25" s="133"/>
      <c r="CZ25" s="133"/>
      <c r="DA25" s="133"/>
      <c r="DB25" s="133"/>
      <c r="DC25" s="133"/>
      <c r="DD25" s="133"/>
      <c r="DE25" s="134"/>
      <c r="DF25" s="132">
        <f>10310.96</f>
        <v>10310.96</v>
      </c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8"/>
    </row>
    <row r="26" spans="1:123" s="9" customFormat="1" ht="12.75">
      <c r="A26" s="16"/>
      <c r="B26" s="17"/>
      <c r="C26" s="17"/>
      <c r="D26" s="18"/>
      <c r="E26" s="152" t="str">
        <f>Лист7!A102</f>
        <v>твердого инвентаря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106">
        <f>Лист7!B102</f>
        <v>1</v>
      </c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  <c r="AG26" s="155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5"/>
      <c r="AU26" s="155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7"/>
      <c r="BI26" s="155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7"/>
      <c r="BW26" s="155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7"/>
      <c r="CK26" s="143"/>
      <c r="CL26" s="144"/>
      <c r="CM26" s="144"/>
      <c r="CN26" s="144"/>
      <c r="CO26" s="144"/>
      <c r="CP26" s="144"/>
      <c r="CQ26" s="144"/>
      <c r="CR26" s="144"/>
      <c r="CS26" s="144"/>
      <c r="CT26" s="144"/>
      <c r="CU26" s="145"/>
      <c r="CV26" s="143"/>
      <c r="CW26" s="144"/>
      <c r="CX26" s="144"/>
      <c r="CY26" s="144"/>
      <c r="CZ26" s="144"/>
      <c r="DA26" s="144"/>
      <c r="DB26" s="144"/>
      <c r="DC26" s="144"/>
      <c r="DD26" s="144"/>
      <c r="DE26" s="145"/>
      <c r="DF26" s="155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7"/>
    </row>
    <row r="27" spans="1:123" s="9" customFormat="1" ht="12.75">
      <c r="A27" s="14"/>
      <c r="B27" s="10"/>
      <c r="C27" s="10"/>
      <c r="D27" s="15"/>
      <c r="E27" s="114" t="str">
        <f>Лист7!A103</f>
        <v>Водитель автомобиля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  <c r="U27" s="103">
        <f>Лист7!B103</f>
        <v>1</v>
      </c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09">
        <f aca="true" t="shared" si="0" ref="AG27:AG44">AU27+BI27+BW27</f>
        <v>4578.56</v>
      </c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1"/>
      <c r="AU27" s="109">
        <f aca="true" t="shared" si="1" ref="AU27:AU60">DF27/3/U27</f>
        <v>4578.56</v>
      </c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6"/>
      <c r="BI27" s="109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09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6"/>
      <c r="CK27" s="112"/>
      <c r="CL27" s="110"/>
      <c r="CM27" s="110"/>
      <c r="CN27" s="110"/>
      <c r="CO27" s="110"/>
      <c r="CP27" s="110"/>
      <c r="CQ27" s="110"/>
      <c r="CR27" s="110"/>
      <c r="CS27" s="110"/>
      <c r="CT27" s="110"/>
      <c r="CU27" s="111"/>
      <c r="CV27" s="112"/>
      <c r="CW27" s="110"/>
      <c r="CX27" s="110"/>
      <c r="CY27" s="110"/>
      <c r="CZ27" s="110"/>
      <c r="DA27" s="110"/>
      <c r="DB27" s="110"/>
      <c r="DC27" s="110"/>
      <c r="DD27" s="110"/>
      <c r="DE27" s="111"/>
      <c r="DF27" s="109">
        <v>13735.68</v>
      </c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6"/>
    </row>
    <row r="28" spans="1:123" s="9" customFormat="1" ht="12.75">
      <c r="A28" s="14"/>
      <c r="B28" s="10"/>
      <c r="C28" s="10"/>
      <c r="D28" s="15"/>
      <c r="E28" s="114" t="str">
        <f>Лист7!A104</f>
        <v>Водитель автобуса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103">
        <f>Лист7!B104</f>
        <v>1</v>
      </c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09">
        <f t="shared" si="0"/>
        <v>0</v>
      </c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1"/>
      <c r="AU28" s="109">
        <f t="shared" si="1"/>
        <v>0</v>
      </c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6"/>
      <c r="BI28" s="109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6"/>
      <c r="BW28" s="109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6"/>
      <c r="CK28" s="112"/>
      <c r="CL28" s="110"/>
      <c r="CM28" s="110"/>
      <c r="CN28" s="110"/>
      <c r="CO28" s="110"/>
      <c r="CP28" s="110"/>
      <c r="CQ28" s="110"/>
      <c r="CR28" s="110"/>
      <c r="CS28" s="110"/>
      <c r="CT28" s="110"/>
      <c r="CU28" s="111"/>
      <c r="CV28" s="112"/>
      <c r="CW28" s="110"/>
      <c r="CX28" s="110"/>
      <c r="CY28" s="110"/>
      <c r="CZ28" s="110"/>
      <c r="DA28" s="110"/>
      <c r="DB28" s="110"/>
      <c r="DC28" s="110"/>
      <c r="DD28" s="110"/>
      <c r="DE28" s="111"/>
      <c r="DF28" s="109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6"/>
    </row>
    <row r="29" spans="1:123" s="9" customFormat="1" ht="12.75">
      <c r="A29" s="14"/>
      <c r="B29" s="10"/>
      <c r="C29" s="10"/>
      <c r="D29" s="15"/>
      <c r="E29" s="114" t="str">
        <f>Лист7!A105</f>
        <v>Электромонтер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6"/>
      <c r="U29" s="103">
        <f>Лист7!B105</f>
        <v>1</v>
      </c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9">
        <f t="shared" si="0"/>
        <v>4560.676666666667</v>
      </c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1"/>
      <c r="AU29" s="109">
        <f t="shared" si="1"/>
        <v>4560.676666666667</v>
      </c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6"/>
      <c r="BI29" s="109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6"/>
      <c r="BW29" s="109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6"/>
      <c r="CK29" s="112"/>
      <c r="CL29" s="110"/>
      <c r="CM29" s="110"/>
      <c r="CN29" s="110"/>
      <c r="CO29" s="110"/>
      <c r="CP29" s="110"/>
      <c r="CQ29" s="110"/>
      <c r="CR29" s="110"/>
      <c r="CS29" s="110"/>
      <c r="CT29" s="110"/>
      <c r="CU29" s="111"/>
      <c r="CV29" s="112"/>
      <c r="CW29" s="110"/>
      <c r="CX29" s="110"/>
      <c r="CY29" s="110"/>
      <c r="CZ29" s="110"/>
      <c r="DA29" s="110"/>
      <c r="DB29" s="110"/>
      <c r="DC29" s="110"/>
      <c r="DD29" s="110"/>
      <c r="DE29" s="111"/>
      <c r="DF29" s="109">
        <v>13682.03</v>
      </c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6"/>
    </row>
    <row r="30" spans="1:123" s="9" customFormat="1" ht="12.75">
      <c r="A30" s="14"/>
      <c r="B30" s="10"/>
      <c r="C30" s="10"/>
      <c r="D30" s="15"/>
      <c r="E30" s="114" t="str">
        <f>Лист7!A106</f>
        <v>Электрогазосварщик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103">
        <f>Лист7!B106</f>
        <v>1</v>
      </c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  <c r="AG30" s="109">
        <f t="shared" si="0"/>
        <v>0</v>
      </c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/>
      <c r="AU30" s="109">
        <f t="shared" si="1"/>
        <v>0</v>
      </c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6"/>
      <c r="BI30" s="109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6"/>
      <c r="BW30" s="109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6"/>
      <c r="CK30" s="112"/>
      <c r="CL30" s="110"/>
      <c r="CM30" s="110"/>
      <c r="CN30" s="110"/>
      <c r="CO30" s="110"/>
      <c r="CP30" s="110"/>
      <c r="CQ30" s="110"/>
      <c r="CR30" s="110"/>
      <c r="CS30" s="110"/>
      <c r="CT30" s="110"/>
      <c r="CU30" s="111"/>
      <c r="CV30" s="112"/>
      <c r="CW30" s="110"/>
      <c r="CX30" s="110"/>
      <c r="CY30" s="110"/>
      <c r="CZ30" s="110"/>
      <c r="DA30" s="110"/>
      <c r="DB30" s="110"/>
      <c r="DC30" s="110"/>
      <c r="DD30" s="110"/>
      <c r="DE30" s="111"/>
      <c r="DF30" s="109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6"/>
    </row>
    <row r="31" spans="1:123" s="9" customFormat="1" ht="12.75">
      <c r="A31" s="14"/>
      <c r="B31" s="10"/>
      <c r="C31" s="10"/>
      <c r="D31" s="15"/>
      <c r="E31" s="114" t="str">
        <f>Лист7!A107</f>
        <v>Плотник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03">
        <f>Лист7!B107</f>
        <v>1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  <c r="AG31" s="109">
        <f t="shared" si="0"/>
        <v>0</v>
      </c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1"/>
      <c r="AU31" s="109">
        <f t="shared" si="1"/>
        <v>0</v>
      </c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6"/>
      <c r="BI31" s="109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6"/>
      <c r="BW31" s="109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6"/>
      <c r="CK31" s="112"/>
      <c r="CL31" s="110"/>
      <c r="CM31" s="110"/>
      <c r="CN31" s="110"/>
      <c r="CO31" s="110"/>
      <c r="CP31" s="110"/>
      <c r="CQ31" s="110"/>
      <c r="CR31" s="110"/>
      <c r="CS31" s="110"/>
      <c r="CT31" s="110"/>
      <c r="CU31" s="111"/>
      <c r="CV31" s="112"/>
      <c r="CW31" s="110"/>
      <c r="CX31" s="110"/>
      <c r="CY31" s="110"/>
      <c r="CZ31" s="110"/>
      <c r="DA31" s="110"/>
      <c r="DB31" s="110"/>
      <c r="DC31" s="110"/>
      <c r="DD31" s="110"/>
      <c r="DE31" s="111"/>
      <c r="DF31" s="109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6"/>
    </row>
    <row r="32" spans="1:123" s="9" customFormat="1" ht="12.75">
      <c r="A32" s="14"/>
      <c r="B32" s="10"/>
      <c r="C32" s="10"/>
      <c r="D32" s="15"/>
      <c r="E32" s="114" t="str">
        <f>Лист7!A108</f>
        <v>Маляр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03">
        <f>Лист7!B108</f>
        <v>1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9">
        <f t="shared" si="0"/>
        <v>3816.846666666667</v>
      </c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1"/>
      <c r="AU32" s="109">
        <f t="shared" si="1"/>
        <v>3816.846666666667</v>
      </c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6"/>
      <c r="BI32" s="109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6"/>
      <c r="BW32" s="109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6"/>
      <c r="CK32" s="112"/>
      <c r="CL32" s="110"/>
      <c r="CM32" s="110"/>
      <c r="CN32" s="110"/>
      <c r="CO32" s="110"/>
      <c r="CP32" s="110"/>
      <c r="CQ32" s="110"/>
      <c r="CR32" s="110"/>
      <c r="CS32" s="110"/>
      <c r="CT32" s="110"/>
      <c r="CU32" s="111"/>
      <c r="CV32" s="112"/>
      <c r="CW32" s="110"/>
      <c r="CX32" s="110"/>
      <c r="CY32" s="110"/>
      <c r="CZ32" s="110"/>
      <c r="DA32" s="110"/>
      <c r="DB32" s="110"/>
      <c r="DC32" s="110"/>
      <c r="DD32" s="110"/>
      <c r="DE32" s="111"/>
      <c r="DF32" s="109">
        <v>11450.54</v>
      </c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6"/>
    </row>
    <row r="33" spans="1:123" s="9" customFormat="1" ht="12.75">
      <c r="A33" s="14"/>
      <c r="B33" s="10"/>
      <c r="C33" s="10"/>
      <c r="D33" s="15"/>
      <c r="E33" s="114" t="str">
        <f>Лист7!A109</f>
        <v>Слесарь-сантехник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6"/>
      <c r="U33" s="103">
        <f>Лист7!B109</f>
        <v>1</v>
      </c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109">
        <f t="shared" si="0"/>
        <v>0</v>
      </c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1"/>
      <c r="AU33" s="109">
        <f t="shared" si="1"/>
        <v>0</v>
      </c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6"/>
      <c r="BI33" s="109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6"/>
      <c r="BW33" s="109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6"/>
      <c r="CK33" s="112"/>
      <c r="CL33" s="110"/>
      <c r="CM33" s="110"/>
      <c r="CN33" s="110"/>
      <c r="CO33" s="110"/>
      <c r="CP33" s="110"/>
      <c r="CQ33" s="110"/>
      <c r="CR33" s="110"/>
      <c r="CS33" s="110"/>
      <c r="CT33" s="110"/>
      <c r="CU33" s="111"/>
      <c r="CV33" s="112"/>
      <c r="CW33" s="110"/>
      <c r="CX33" s="110"/>
      <c r="CY33" s="110"/>
      <c r="CZ33" s="110"/>
      <c r="DA33" s="110"/>
      <c r="DB33" s="110"/>
      <c r="DC33" s="110"/>
      <c r="DD33" s="110"/>
      <c r="DE33" s="111"/>
      <c r="DF33" s="109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9" customFormat="1" ht="12.75">
      <c r="A34" s="14"/>
      <c r="B34" s="10"/>
      <c r="C34" s="10"/>
      <c r="D34" s="15"/>
      <c r="E34" s="114" t="str">
        <f>Лист7!A110</f>
        <v>Сторож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  <c r="U34" s="103">
        <f>Лист7!B110</f>
        <v>4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5"/>
      <c r="AG34" s="109">
        <f t="shared" si="0"/>
        <v>2609.6141666666667</v>
      </c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1"/>
      <c r="AU34" s="109">
        <f t="shared" si="1"/>
        <v>2609.6141666666667</v>
      </c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6"/>
      <c r="BI34" s="109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6"/>
      <c r="BW34" s="109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6"/>
      <c r="CK34" s="112"/>
      <c r="CL34" s="110"/>
      <c r="CM34" s="110"/>
      <c r="CN34" s="110"/>
      <c r="CO34" s="110"/>
      <c r="CP34" s="110"/>
      <c r="CQ34" s="110"/>
      <c r="CR34" s="110"/>
      <c r="CS34" s="110"/>
      <c r="CT34" s="110"/>
      <c r="CU34" s="111"/>
      <c r="CV34" s="112"/>
      <c r="CW34" s="110"/>
      <c r="CX34" s="110"/>
      <c r="CY34" s="110"/>
      <c r="CZ34" s="110"/>
      <c r="DA34" s="110"/>
      <c r="DB34" s="110"/>
      <c r="DC34" s="110"/>
      <c r="DD34" s="110"/>
      <c r="DE34" s="111"/>
      <c r="DF34" s="109">
        <f>7295.26+8148.99+8148.99+7722.13</f>
        <v>31315.37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6"/>
    </row>
    <row r="35" spans="1:123" s="9" customFormat="1" ht="12.75">
      <c r="A35" s="14"/>
      <c r="B35" s="10"/>
      <c r="C35" s="10"/>
      <c r="D35" s="15"/>
      <c r="E35" s="114" t="str">
        <f>Лист7!A111</f>
        <v>Дворник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6"/>
      <c r="U35" s="103">
        <f>Лист7!B111</f>
        <v>1</v>
      </c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109">
        <f t="shared" si="0"/>
        <v>186.04999999999998</v>
      </c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1"/>
      <c r="AU35" s="109">
        <f t="shared" si="1"/>
        <v>186.04999999999998</v>
      </c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6"/>
      <c r="BI35" s="109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6"/>
      <c r="BW35" s="109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6"/>
      <c r="CK35" s="112"/>
      <c r="CL35" s="110"/>
      <c r="CM35" s="110"/>
      <c r="CN35" s="110"/>
      <c r="CO35" s="110"/>
      <c r="CP35" s="110"/>
      <c r="CQ35" s="110"/>
      <c r="CR35" s="110"/>
      <c r="CS35" s="110"/>
      <c r="CT35" s="110"/>
      <c r="CU35" s="111"/>
      <c r="CV35" s="112"/>
      <c r="CW35" s="110"/>
      <c r="CX35" s="110"/>
      <c r="CY35" s="110"/>
      <c r="CZ35" s="110"/>
      <c r="DA35" s="110"/>
      <c r="DB35" s="110"/>
      <c r="DC35" s="110"/>
      <c r="DD35" s="110"/>
      <c r="DE35" s="111"/>
      <c r="DF35" s="109">
        <v>558.15</v>
      </c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6"/>
    </row>
    <row r="36" spans="1:123" s="9" customFormat="1" ht="12.75">
      <c r="A36" s="14"/>
      <c r="B36" s="10"/>
      <c r="C36" s="10"/>
      <c r="D36" s="15"/>
      <c r="E36" s="114" t="str">
        <f>Лист7!A112</f>
        <v>Грузчик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103">
        <f>Лист7!B112</f>
        <v>1</v>
      </c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5"/>
      <c r="AG36" s="109">
        <f t="shared" si="0"/>
        <v>0</v>
      </c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1"/>
      <c r="AU36" s="109">
        <f t="shared" si="1"/>
        <v>0</v>
      </c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6"/>
      <c r="BI36" s="109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6"/>
      <c r="BW36" s="109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6"/>
      <c r="CK36" s="112"/>
      <c r="CL36" s="110"/>
      <c r="CM36" s="110"/>
      <c r="CN36" s="110"/>
      <c r="CO36" s="110"/>
      <c r="CP36" s="110"/>
      <c r="CQ36" s="110"/>
      <c r="CR36" s="110"/>
      <c r="CS36" s="110"/>
      <c r="CT36" s="110"/>
      <c r="CU36" s="111"/>
      <c r="CV36" s="112"/>
      <c r="CW36" s="110"/>
      <c r="CX36" s="110"/>
      <c r="CY36" s="110"/>
      <c r="CZ36" s="110"/>
      <c r="DA36" s="110"/>
      <c r="DB36" s="110"/>
      <c r="DC36" s="110"/>
      <c r="DD36" s="110"/>
      <c r="DE36" s="111"/>
      <c r="DF36" s="109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6"/>
    </row>
    <row r="37" spans="1:123" s="9" customFormat="1" ht="12.75">
      <c r="A37" s="14"/>
      <c r="B37" s="10"/>
      <c r="C37" s="10"/>
      <c r="D37" s="15"/>
      <c r="E37" s="114" t="str">
        <f>Лист7!A113</f>
        <v>Оператор котельной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  <c r="U37" s="103">
        <f>Лист7!B113</f>
        <v>4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5"/>
      <c r="AG37" s="109">
        <f t="shared" si="0"/>
        <v>2994.3758333333335</v>
      </c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1"/>
      <c r="AU37" s="109">
        <f t="shared" si="1"/>
        <v>2994.3758333333335</v>
      </c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6"/>
      <c r="BI37" s="109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6"/>
      <c r="BW37" s="109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6"/>
      <c r="CK37" s="112"/>
      <c r="CL37" s="110"/>
      <c r="CM37" s="110"/>
      <c r="CN37" s="110"/>
      <c r="CO37" s="110"/>
      <c r="CP37" s="110"/>
      <c r="CQ37" s="110"/>
      <c r="CR37" s="110"/>
      <c r="CS37" s="110"/>
      <c r="CT37" s="110"/>
      <c r="CU37" s="111"/>
      <c r="CV37" s="112"/>
      <c r="CW37" s="110"/>
      <c r="CX37" s="110"/>
      <c r="CY37" s="110"/>
      <c r="CZ37" s="110"/>
      <c r="DA37" s="110"/>
      <c r="DB37" s="110"/>
      <c r="DC37" s="110"/>
      <c r="DD37" s="110"/>
      <c r="DE37" s="111"/>
      <c r="DF37" s="109">
        <f>8108.1+9106.02+893.04+9106.02+8719.33</f>
        <v>35932.51</v>
      </c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6"/>
    </row>
    <row r="38" spans="1:123" s="9" customFormat="1" ht="12.75">
      <c r="A38" s="14"/>
      <c r="B38" s="10"/>
      <c r="C38" s="10"/>
      <c r="D38" s="15"/>
      <c r="E38" s="114" t="str">
        <f>Лист7!A114</f>
        <v>Слесарь котельной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3">
        <f>Лист7!B114</f>
        <v>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9">
        <f t="shared" si="0"/>
        <v>0</v>
      </c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1"/>
      <c r="AU38" s="109">
        <f t="shared" si="1"/>
        <v>0</v>
      </c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6"/>
      <c r="BI38" s="109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6"/>
      <c r="BW38" s="109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6"/>
      <c r="CK38" s="112"/>
      <c r="CL38" s="110"/>
      <c r="CM38" s="110"/>
      <c r="CN38" s="110"/>
      <c r="CO38" s="110"/>
      <c r="CP38" s="110"/>
      <c r="CQ38" s="110"/>
      <c r="CR38" s="110"/>
      <c r="CS38" s="110"/>
      <c r="CT38" s="110"/>
      <c r="CU38" s="111"/>
      <c r="CV38" s="112"/>
      <c r="CW38" s="110"/>
      <c r="CX38" s="110"/>
      <c r="CY38" s="110"/>
      <c r="CZ38" s="110"/>
      <c r="DA38" s="110"/>
      <c r="DB38" s="110"/>
      <c r="DC38" s="110"/>
      <c r="DD38" s="110"/>
      <c r="DE38" s="111"/>
      <c r="DF38" s="109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6"/>
    </row>
    <row r="39" spans="1:123" s="9" customFormat="1" ht="12.75">
      <c r="A39" s="14"/>
      <c r="B39" s="10"/>
      <c r="C39" s="10"/>
      <c r="D39" s="15"/>
      <c r="E39" s="114" t="str">
        <f>Лист7!A115</f>
        <v>Заведующий производством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6"/>
      <c r="U39" s="103">
        <f>Лист7!B115</f>
        <v>1</v>
      </c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5"/>
      <c r="AG39" s="109">
        <f t="shared" si="0"/>
        <v>0</v>
      </c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1"/>
      <c r="AU39" s="109">
        <f t="shared" si="1"/>
        <v>0</v>
      </c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6"/>
      <c r="BI39" s="109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6"/>
      <c r="BW39" s="109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6"/>
      <c r="CK39" s="112"/>
      <c r="CL39" s="110"/>
      <c r="CM39" s="110"/>
      <c r="CN39" s="110"/>
      <c r="CO39" s="110"/>
      <c r="CP39" s="110"/>
      <c r="CQ39" s="110"/>
      <c r="CR39" s="110"/>
      <c r="CS39" s="110"/>
      <c r="CT39" s="110"/>
      <c r="CU39" s="111"/>
      <c r="CV39" s="112"/>
      <c r="CW39" s="110"/>
      <c r="CX39" s="110"/>
      <c r="CY39" s="110"/>
      <c r="CZ39" s="110"/>
      <c r="DA39" s="110"/>
      <c r="DB39" s="110"/>
      <c r="DC39" s="110"/>
      <c r="DD39" s="110"/>
      <c r="DE39" s="111"/>
      <c r="DF39" s="109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6"/>
    </row>
    <row r="40" spans="1:123" s="9" customFormat="1" ht="12.75">
      <c r="A40" s="14"/>
      <c r="B40" s="10"/>
      <c r="C40" s="10"/>
      <c r="D40" s="15"/>
      <c r="E40" s="114" t="str">
        <f>Лист7!A116</f>
        <v>Официант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6"/>
      <c r="U40" s="103">
        <f>Лист7!B116</f>
        <v>1</v>
      </c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5"/>
      <c r="AG40" s="109">
        <f t="shared" si="0"/>
        <v>2716.33</v>
      </c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/>
      <c r="AU40" s="109">
        <f t="shared" si="1"/>
        <v>2716.33</v>
      </c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6"/>
      <c r="BI40" s="109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6"/>
      <c r="BW40" s="109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6"/>
      <c r="CK40" s="112"/>
      <c r="CL40" s="110"/>
      <c r="CM40" s="110"/>
      <c r="CN40" s="110"/>
      <c r="CO40" s="110"/>
      <c r="CP40" s="110"/>
      <c r="CQ40" s="110"/>
      <c r="CR40" s="110"/>
      <c r="CS40" s="110"/>
      <c r="CT40" s="110"/>
      <c r="CU40" s="111"/>
      <c r="CV40" s="112"/>
      <c r="CW40" s="110"/>
      <c r="CX40" s="110"/>
      <c r="CY40" s="110"/>
      <c r="CZ40" s="110"/>
      <c r="DA40" s="110"/>
      <c r="DB40" s="110"/>
      <c r="DC40" s="110"/>
      <c r="DD40" s="110"/>
      <c r="DE40" s="111"/>
      <c r="DF40" s="109">
        <v>8148.99</v>
      </c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6"/>
    </row>
    <row r="41" spans="1:123" s="9" customFormat="1" ht="12.75">
      <c r="A41" s="14"/>
      <c r="B41" s="10"/>
      <c r="C41" s="10"/>
      <c r="D41" s="15"/>
      <c r="E41" s="114" t="str">
        <f>Лист7!A117</f>
        <v>Кухонный рабочий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6"/>
      <c r="U41" s="103">
        <f>Лист7!B117</f>
        <v>2</v>
      </c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  <c r="AG41" s="109">
        <f t="shared" si="0"/>
        <v>2716.33</v>
      </c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/>
      <c r="AU41" s="109">
        <f t="shared" si="1"/>
        <v>2716.33</v>
      </c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6"/>
      <c r="BI41" s="109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6"/>
      <c r="BW41" s="109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6"/>
      <c r="CK41" s="112"/>
      <c r="CL41" s="110"/>
      <c r="CM41" s="110"/>
      <c r="CN41" s="110"/>
      <c r="CO41" s="110"/>
      <c r="CP41" s="110"/>
      <c r="CQ41" s="110"/>
      <c r="CR41" s="110"/>
      <c r="CS41" s="110"/>
      <c r="CT41" s="110"/>
      <c r="CU41" s="111"/>
      <c r="CV41" s="112"/>
      <c r="CW41" s="110"/>
      <c r="CX41" s="110"/>
      <c r="CY41" s="110"/>
      <c r="CZ41" s="110"/>
      <c r="DA41" s="110"/>
      <c r="DB41" s="110"/>
      <c r="DC41" s="110"/>
      <c r="DD41" s="110"/>
      <c r="DE41" s="111"/>
      <c r="DF41" s="109">
        <f>8148.99+8148.99</f>
        <v>16297.98</v>
      </c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6"/>
    </row>
    <row r="42" spans="1:123" s="9" customFormat="1" ht="12.75">
      <c r="A42" s="19"/>
      <c r="B42" s="20"/>
      <c r="C42" s="20"/>
      <c r="D42" s="21"/>
      <c r="E42" s="123" t="str">
        <f>Лист7!A118</f>
        <v>Заведующий спальным 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5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1"/>
      <c r="AG42" s="132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4"/>
      <c r="AU42" s="132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8"/>
      <c r="BI42" s="132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8"/>
      <c r="BW42" s="132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8"/>
      <c r="CK42" s="142"/>
      <c r="CL42" s="133"/>
      <c r="CM42" s="133"/>
      <c r="CN42" s="133"/>
      <c r="CO42" s="133"/>
      <c r="CP42" s="133"/>
      <c r="CQ42" s="133"/>
      <c r="CR42" s="133"/>
      <c r="CS42" s="133"/>
      <c r="CT42" s="133"/>
      <c r="CU42" s="134"/>
      <c r="CV42" s="142"/>
      <c r="CW42" s="133"/>
      <c r="CX42" s="133"/>
      <c r="CY42" s="133"/>
      <c r="CZ42" s="133"/>
      <c r="DA42" s="133"/>
      <c r="DB42" s="133"/>
      <c r="DC42" s="133"/>
      <c r="DD42" s="133"/>
      <c r="DE42" s="134"/>
      <c r="DF42" s="132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8"/>
    </row>
    <row r="43" spans="1:123" s="9" customFormat="1" ht="12.75">
      <c r="A43" s="16"/>
      <c r="B43" s="17"/>
      <c r="C43" s="17"/>
      <c r="D43" s="18"/>
      <c r="E43" s="152" t="str">
        <f>Лист7!A119</f>
        <v>корпусом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4"/>
      <c r="U43" s="106">
        <f>Лист7!B119</f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8"/>
      <c r="AG43" s="155">
        <f t="shared" si="0"/>
        <v>3436.986666666666</v>
      </c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5"/>
      <c r="AU43" s="155">
        <f t="shared" si="1"/>
        <v>3436.986666666666</v>
      </c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7"/>
      <c r="BI43" s="155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7"/>
      <c r="BW43" s="155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7"/>
      <c r="CK43" s="143"/>
      <c r="CL43" s="144"/>
      <c r="CM43" s="144"/>
      <c r="CN43" s="144"/>
      <c r="CO43" s="144"/>
      <c r="CP43" s="144"/>
      <c r="CQ43" s="144"/>
      <c r="CR43" s="144"/>
      <c r="CS43" s="144"/>
      <c r="CT43" s="144"/>
      <c r="CU43" s="145"/>
      <c r="CV43" s="143"/>
      <c r="CW43" s="144"/>
      <c r="CX43" s="144"/>
      <c r="CY43" s="144"/>
      <c r="CZ43" s="144"/>
      <c r="DA43" s="144"/>
      <c r="DB43" s="144"/>
      <c r="DC43" s="144"/>
      <c r="DD43" s="144"/>
      <c r="DE43" s="145"/>
      <c r="DF43" s="155">
        <v>10310.96</v>
      </c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7"/>
    </row>
    <row r="44" spans="1:138" s="9" customFormat="1" ht="12.75">
      <c r="A44" s="14"/>
      <c r="B44" s="10"/>
      <c r="C44" s="10"/>
      <c r="D44" s="15"/>
      <c r="E44" s="114" t="str">
        <f>Лист7!A120</f>
        <v>Горничная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103">
        <f>Лист7!B120</f>
        <v>7</v>
      </c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/>
      <c r="AG44" s="109">
        <f t="shared" si="0"/>
        <v>2803.7714285714283</v>
      </c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1"/>
      <c r="AU44" s="109">
        <f t="shared" si="1"/>
        <v>2803.7714285714283</v>
      </c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6"/>
      <c r="BI44" s="109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6"/>
      <c r="BW44" s="109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6"/>
      <c r="CK44" s="112"/>
      <c r="CL44" s="110"/>
      <c r="CM44" s="110"/>
      <c r="CN44" s="110"/>
      <c r="CO44" s="110"/>
      <c r="CP44" s="110"/>
      <c r="CQ44" s="110"/>
      <c r="CR44" s="110"/>
      <c r="CS44" s="110"/>
      <c r="CT44" s="110"/>
      <c r="CU44" s="111"/>
      <c r="CV44" s="112"/>
      <c r="CW44" s="110"/>
      <c r="CX44" s="110"/>
      <c r="CY44" s="110"/>
      <c r="CZ44" s="110"/>
      <c r="DA44" s="110"/>
      <c r="DB44" s="110"/>
      <c r="DC44" s="110"/>
      <c r="DD44" s="110"/>
      <c r="DE44" s="111"/>
      <c r="DF44" s="109">
        <f>10543.41+8148.99+8148.99+7590.84+8148.99+8148.99+8148.99</f>
        <v>58879.19999999999</v>
      </c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6"/>
      <c r="EH44" s="102"/>
    </row>
    <row r="45" spans="1:123" s="9" customFormat="1" ht="12.75">
      <c r="A45" s="14"/>
      <c r="B45" s="10"/>
      <c r="C45" s="10"/>
      <c r="D45" s="15"/>
      <c r="E45" s="114" t="str">
        <f>Лист7!A121</f>
        <v>Старшая медицинская сестра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  <c r="U45" s="103">
        <f>Лист7!B121</f>
        <v>1</v>
      </c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5"/>
      <c r="AG45" s="109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/>
      <c r="AU45" s="109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6"/>
      <c r="BI45" s="109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6"/>
      <c r="BW45" s="109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6"/>
      <c r="CK45" s="112"/>
      <c r="CL45" s="110"/>
      <c r="CM45" s="110"/>
      <c r="CN45" s="110"/>
      <c r="CO45" s="110"/>
      <c r="CP45" s="110"/>
      <c r="CQ45" s="110"/>
      <c r="CR45" s="110"/>
      <c r="CS45" s="110"/>
      <c r="CT45" s="110"/>
      <c r="CU45" s="111"/>
      <c r="CV45" s="112"/>
      <c r="CW45" s="110"/>
      <c r="CX45" s="110"/>
      <c r="CY45" s="110"/>
      <c r="CZ45" s="110"/>
      <c r="DA45" s="110"/>
      <c r="DB45" s="110"/>
      <c r="DC45" s="110"/>
      <c r="DD45" s="110"/>
      <c r="DE45" s="111"/>
      <c r="DF45" s="109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6"/>
    </row>
    <row r="46" spans="1:123" s="9" customFormat="1" ht="12.75">
      <c r="A46" s="14"/>
      <c r="B46" s="10"/>
      <c r="C46" s="10"/>
      <c r="D46" s="15"/>
      <c r="E46" s="114" t="str">
        <f>Лист7!A122</f>
        <v>Медицинская сестра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6"/>
      <c r="U46" s="103">
        <f>Лист7!B122</f>
        <v>1</v>
      </c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5"/>
      <c r="AG46" s="109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/>
      <c r="AU46" s="109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6"/>
      <c r="BI46" s="109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6"/>
      <c r="BW46" s="109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6"/>
      <c r="CK46" s="112"/>
      <c r="CL46" s="110"/>
      <c r="CM46" s="110"/>
      <c r="CN46" s="110"/>
      <c r="CO46" s="110"/>
      <c r="CP46" s="110"/>
      <c r="CQ46" s="110"/>
      <c r="CR46" s="110"/>
      <c r="CS46" s="110"/>
      <c r="CT46" s="110"/>
      <c r="CU46" s="111"/>
      <c r="CV46" s="112"/>
      <c r="CW46" s="110"/>
      <c r="CX46" s="110"/>
      <c r="CY46" s="110"/>
      <c r="CZ46" s="110"/>
      <c r="DA46" s="110"/>
      <c r="DB46" s="110"/>
      <c r="DC46" s="110"/>
      <c r="DD46" s="110"/>
      <c r="DE46" s="111"/>
      <c r="DF46" s="109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6"/>
    </row>
    <row r="47" spans="1:123" s="9" customFormat="1" ht="12.75">
      <c r="A47" s="19"/>
      <c r="B47" s="20"/>
      <c r="C47" s="20"/>
      <c r="D47" s="21"/>
      <c r="E47" s="123" t="s">
        <v>277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5"/>
      <c r="U47" s="129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1"/>
      <c r="AG47" s="132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4"/>
      <c r="AU47" s="132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8"/>
      <c r="BI47" s="132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8"/>
      <c r="BW47" s="132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8"/>
      <c r="CK47" s="142"/>
      <c r="CL47" s="133"/>
      <c r="CM47" s="133"/>
      <c r="CN47" s="133"/>
      <c r="CO47" s="133"/>
      <c r="CP47" s="133"/>
      <c r="CQ47" s="133"/>
      <c r="CR47" s="133"/>
      <c r="CS47" s="133"/>
      <c r="CT47" s="133"/>
      <c r="CU47" s="134"/>
      <c r="CV47" s="142"/>
      <c r="CW47" s="133"/>
      <c r="CX47" s="133"/>
      <c r="CY47" s="133"/>
      <c r="CZ47" s="133"/>
      <c r="DA47" s="133"/>
      <c r="DB47" s="133"/>
      <c r="DC47" s="133"/>
      <c r="DD47" s="133"/>
      <c r="DE47" s="134"/>
      <c r="DF47" s="132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8"/>
    </row>
    <row r="48" spans="1:123" s="9" customFormat="1" ht="12.75">
      <c r="A48" s="16"/>
      <c r="B48" s="17"/>
      <c r="C48" s="17"/>
      <c r="D48" s="18"/>
      <c r="E48" s="152" t="s">
        <v>278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4"/>
      <c r="U48" s="106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8"/>
      <c r="AG48" s="155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5"/>
      <c r="AU48" s="155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7"/>
      <c r="BI48" s="155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7"/>
      <c r="BW48" s="155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7"/>
      <c r="CK48" s="143"/>
      <c r="CL48" s="144"/>
      <c r="CM48" s="144"/>
      <c r="CN48" s="144"/>
      <c r="CO48" s="144"/>
      <c r="CP48" s="144"/>
      <c r="CQ48" s="144"/>
      <c r="CR48" s="144"/>
      <c r="CS48" s="144"/>
      <c r="CT48" s="144"/>
      <c r="CU48" s="145"/>
      <c r="CV48" s="143"/>
      <c r="CW48" s="144"/>
      <c r="CX48" s="144"/>
      <c r="CY48" s="144"/>
      <c r="CZ48" s="144"/>
      <c r="DA48" s="144"/>
      <c r="DB48" s="144"/>
      <c r="DC48" s="144"/>
      <c r="DD48" s="144"/>
      <c r="DE48" s="145"/>
      <c r="DF48" s="155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7"/>
    </row>
    <row r="49" spans="1:123" s="9" customFormat="1" ht="12.75">
      <c r="A49" s="14"/>
      <c r="B49" s="10"/>
      <c r="C49" s="10"/>
      <c r="D49" s="15"/>
      <c r="E49" s="114" t="s">
        <v>279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103">
        <v>2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5"/>
      <c r="AG49" s="109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1"/>
      <c r="AU49" s="109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6"/>
      <c r="BI49" s="109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6"/>
      <c r="BW49" s="109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6"/>
      <c r="CK49" s="112"/>
      <c r="CL49" s="110"/>
      <c r="CM49" s="110"/>
      <c r="CN49" s="110"/>
      <c r="CO49" s="110"/>
      <c r="CP49" s="110"/>
      <c r="CQ49" s="110"/>
      <c r="CR49" s="110"/>
      <c r="CS49" s="110"/>
      <c r="CT49" s="110"/>
      <c r="CU49" s="111"/>
      <c r="CV49" s="112"/>
      <c r="CW49" s="110"/>
      <c r="CX49" s="110"/>
      <c r="CY49" s="110"/>
      <c r="CZ49" s="110"/>
      <c r="DA49" s="110"/>
      <c r="DB49" s="110"/>
      <c r="DC49" s="110"/>
      <c r="DD49" s="110"/>
      <c r="DE49" s="111"/>
      <c r="DF49" s="109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6"/>
    </row>
    <row r="50" spans="1:123" s="9" customFormat="1" ht="12.75">
      <c r="A50" s="14"/>
      <c r="B50" s="10"/>
      <c r="C50" s="10"/>
      <c r="D50" s="15"/>
      <c r="E50" s="114" t="s">
        <v>280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6"/>
      <c r="U50" s="103">
        <v>1</v>
      </c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5"/>
      <c r="AG50" s="109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/>
      <c r="AU50" s="109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6"/>
      <c r="BI50" s="109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6"/>
      <c r="BW50" s="109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6"/>
      <c r="CK50" s="112"/>
      <c r="CL50" s="110"/>
      <c r="CM50" s="110"/>
      <c r="CN50" s="110"/>
      <c r="CO50" s="110"/>
      <c r="CP50" s="110"/>
      <c r="CQ50" s="110"/>
      <c r="CR50" s="110"/>
      <c r="CS50" s="110"/>
      <c r="CT50" s="110"/>
      <c r="CU50" s="111"/>
      <c r="CV50" s="112"/>
      <c r="CW50" s="110"/>
      <c r="CX50" s="110"/>
      <c r="CY50" s="110"/>
      <c r="CZ50" s="110"/>
      <c r="DA50" s="110"/>
      <c r="DB50" s="110"/>
      <c r="DC50" s="110"/>
      <c r="DD50" s="110"/>
      <c r="DE50" s="111"/>
      <c r="DF50" s="109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6"/>
    </row>
    <row r="51" spans="1:123" s="9" customFormat="1" ht="12.75">
      <c r="A51" s="14"/>
      <c r="B51" s="10"/>
      <c r="C51" s="10"/>
      <c r="D51" s="15"/>
      <c r="E51" s="114" t="s">
        <v>281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103">
        <v>1</v>
      </c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5"/>
      <c r="AG51" s="109">
        <f aca="true" t="shared" si="2" ref="AG51:AG60">AU51+BI51+BW51</f>
        <v>5091.8133333333335</v>
      </c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/>
      <c r="AU51" s="109">
        <f t="shared" si="1"/>
        <v>5091.8133333333335</v>
      </c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6"/>
      <c r="BI51" s="109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6"/>
      <c r="BW51" s="109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6"/>
      <c r="CK51" s="112"/>
      <c r="CL51" s="110"/>
      <c r="CM51" s="110"/>
      <c r="CN51" s="110"/>
      <c r="CO51" s="110"/>
      <c r="CP51" s="110"/>
      <c r="CQ51" s="110"/>
      <c r="CR51" s="110"/>
      <c r="CS51" s="110"/>
      <c r="CT51" s="110"/>
      <c r="CU51" s="111"/>
      <c r="CV51" s="112"/>
      <c r="CW51" s="110"/>
      <c r="CX51" s="110"/>
      <c r="CY51" s="110"/>
      <c r="CZ51" s="110"/>
      <c r="DA51" s="110"/>
      <c r="DB51" s="110"/>
      <c r="DC51" s="110"/>
      <c r="DD51" s="110"/>
      <c r="DE51" s="111"/>
      <c r="DF51" s="146">
        <f>15275.44</f>
        <v>15275.44</v>
      </c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8"/>
    </row>
    <row r="52" spans="1:123" s="9" customFormat="1" ht="12.75">
      <c r="A52" s="14"/>
      <c r="B52" s="10"/>
      <c r="C52" s="10"/>
      <c r="D52" s="15"/>
      <c r="E52" s="114" t="s">
        <v>282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03">
        <v>12</v>
      </c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5"/>
      <c r="AG52" s="109">
        <f t="shared" si="2"/>
        <v>2180.2625</v>
      </c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1"/>
      <c r="AU52" s="109">
        <f t="shared" si="1"/>
        <v>2180.2625</v>
      </c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6"/>
      <c r="BI52" s="109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6"/>
      <c r="BW52" s="109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6"/>
      <c r="CK52" s="112"/>
      <c r="CL52" s="110"/>
      <c r="CM52" s="110"/>
      <c r="CN52" s="110"/>
      <c r="CO52" s="110"/>
      <c r="CP52" s="110"/>
      <c r="CQ52" s="110"/>
      <c r="CR52" s="110"/>
      <c r="CS52" s="110"/>
      <c r="CT52" s="110"/>
      <c r="CU52" s="111"/>
      <c r="CV52" s="112"/>
      <c r="CW52" s="110"/>
      <c r="CX52" s="110"/>
      <c r="CY52" s="110"/>
      <c r="CZ52" s="110"/>
      <c r="DA52" s="110"/>
      <c r="DB52" s="110"/>
      <c r="DC52" s="110"/>
      <c r="DD52" s="110"/>
      <c r="DE52" s="111"/>
      <c r="DF52" s="146">
        <f>4751.48+1283.34+10568.09+4750.92+3396.07+7170.57+3396.67+3396.27+12109.68+11922.9+4750.36+10993.1</f>
        <v>78489.45</v>
      </c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8"/>
    </row>
    <row r="53" spans="1:123" s="9" customFormat="1" ht="12.75">
      <c r="A53" s="14"/>
      <c r="B53" s="10"/>
      <c r="C53" s="10"/>
      <c r="D53" s="15"/>
      <c r="E53" s="114" t="s">
        <v>283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03">
        <v>1</v>
      </c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5"/>
      <c r="AG53" s="109">
        <f t="shared" si="2"/>
        <v>0</v>
      </c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1"/>
      <c r="AU53" s="109">
        <f t="shared" si="1"/>
        <v>0</v>
      </c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6"/>
      <c r="BI53" s="109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6"/>
      <c r="BW53" s="109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6"/>
      <c r="CK53" s="112"/>
      <c r="CL53" s="110"/>
      <c r="CM53" s="110"/>
      <c r="CN53" s="110"/>
      <c r="CO53" s="110"/>
      <c r="CP53" s="110"/>
      <c r="CQ53" s="110"/>
      <c r="CR53" s="110"/>
      <c r="CS53" s="110"/>
      <c r="CT53" s="110"/>
      <c r="CU53" s="111"/>
      <c r="CV53" s="112"/>
      <c r="CW53" s="110"/>
      <c r="CX53" s="110"/>
      <c r="CY53" s="110"/>
      <c r="CZ53" s="110"/>
      <c r="DA53" s="110"/>
      <c r="DB53" s="110"/>
      <c r="DC53" s="110"/>
      <c r="DD53" s="110"/>
      <c r="DE53" s="111"/>
      <c r="DF53" s="146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8"/>
    </row>
    <row r="54" spans="1:123" s="9" customFormat="1" ht="12.75">
      <c r="A54" s="14"/>
      <c r="B54" s="10"/>
      <c r="C54" s="10"/>
      <c r="D54" s="15"/>
      <c r="E54" s="114" t="s">
        <v>284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6"/>
      <c r="U54" s="103">
        <v>12</v>
      </c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5"/>
      <c r="AG54" s="109">
        <f t="shared" si="2"/>
        <v>2567.8686111111106</v>
      </c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1"/>
      <c r="AU54" s="109">
        <f t="shared" si="1"/>
        <v>2567.8686111111106</v>
      </c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6"/>
      <c r="BI54" s="109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6"/>
      <c r="BW54" s="109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6"/>
      <c r="CK54" s="112"/>
      <c r="CL54" s="110"/>
      <c r="CM54" s="110"/>
      <c r="CN54" s="110"/>
      <c r="CO54" s="110"/>
      <c r="CP54" s="110"/>
      <c r="CQ54" s="110"/>
      <c r="CR54" s="110"/>
      <c r="CS54" s="110"/>
      <c r="CT54" s="110"/>
      <c r="CU54" s="111"/>
      <c r="CV54" s="112"/>
      <c r="CW54" s="110"/>
      <c r="CX54" s="110"/>
      <c r="CY54" s="110"/>
      <c r="CZ54" s="110"/>
      <c r="DA54" s="110"/>
      <c r="DB54" s="110"/>
      <c r="DC54" s="110"/>
      <c r="DD54" s="110"/>
      <c r="DE54" s="111"/>
      <c r="DF54" s="146">
        <f>8454.22+10987.93+3396.67+10987.93+4404.78+7171.42+1282.65+4404.78+7171.42+3396.67+8454.22+4751.48+4751.48+4751.48+3396.67+1282.8+3396.67</f>
        <v>92443.26999999997</v>
      </c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8"/>
    </row>
    <row r="55" spans="1:123" s="9" customFormat="1" ht="12.75">
      <c r="A55" s="14"/>
      <c r="B55" s="10"/>
      <c r="C55" s="10"/>
      <c r="D55" s="15"/>
      <c r="E55" s="114" t="s">
        <v>285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6"/>
      <c r="U55" s="103">
        <v>3</v>
      </c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5"/>
      <c r="AG55" s="109">
        <f t="shared" si="2"/>
        <v>3000.736666666667</v>
      </c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/>
      <c r="AU55" s="109">
        <f t="shared" si="1"/>
        <v>3000.736666666667</v>
      </c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6"/>
      <c r="BI55" s="109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6"/>
      <c r="BW55" s="109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6"/>
      <c r="CK55" s="112"/>
      <c r="CL55" s="110"/>
      <c r="CM55" s="110"/>
      <c r="CN55" s="110"/>
      <c r="CO55" s="110"/>
      <c r="CP55" s="110"/>
      <c r="CQ55" s="110"/>
      <c r="CR55" s="110"/>
      <c r="CS55" s="110"/>
      <c r="CT55" s="110"/>
      <c r="CU55" s="111"/>
      <c r="CV55" s="112"/>
      <c r="CW55" s="110"/>
      <c r="CX55" s="110"/>
      <c r="CY55" s="110"/>
      <c r="CZ55" s="110"/>
      <c r="DA55" s="110"/>
      <c r="DB55" s="110"/>
      <c r="DC55" s="110"/>
      <c r="DD55" s="110"/>
      <c r="DE55" s="111"/>
      <c r="DF55" s="146">
        <f>4250.37+11896.99+1130.49+9728.78</f>
        <v>27006.630000000005</v>
      </c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8"/>
    </row>
    <row r="56" spans="1:123" s="9" customFormat="1" ht="12.75">
      <c r="A56" s="14"/>
      <c r="B56" s="10"/>
      <c r="C56" s="10"/>
      <c r="D56" s="15"/>
      <c r="E56" s="114" t="s">
        <v>286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6"/>
      <c r="U56" s="103">
        <v>1</v>
      </c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5"/>
      <c r="AG56" s="109">
        <f t="shared" si="2"/>
        <v>3642.1200000000003</v>
      </c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/>
      <c r="AU56" s="109">
        <f t="shared" si="1"/>
        <v>3642.1200000000003</v>
      </c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6"/>
      <c r="BI56" s="109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6"/>
      <c r="BW56" s="109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6"/>
      <c r="CK56" s="112"/>
      <c r="CL56" s="110"/>
      <c r="CM56" s="110"/>
      <c r="CN56" s="110"/>
      <c r="CO56" s="110"/>
      <c r="CP56" s="110"/>
      <c r="CQ56" s="110"/>
      <c r="CR56" s="110"/>
      <c r="CS56" s="110"/>
      <c r="CT56" s="110"/>
      <c r="CU56" s="111"/>
      <c r="CV56" s="112"/>
      <c r="CW56" s="110"/>
      <c r="CX56" s="110"/>
      <c r="CY56" s="110"/>
      <c r="CZ56" s="110"/>
      <c r="DA56" s="110"/>
      <c r="DB56" s="110"/>
      <c r="DC56" s="110"/>
      <c r="DD56" s="110"/>
      <c r="DE56" s="111"/>
      <c r="DF56" s="146">
        <v>10926.36</v>
      </c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8"/>
    </row>
    <row r="57" spans="1:123" s="9" customFormat="1" ht="12.75">
      <c r="A57" s="19"/>
      <c r="B57" s="20"/>
      <c r="C57" s="20"/>
      <c r="D57" s="21"/>
      <c r="E57" s="123" t="s">
        <v>276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5"/>
      <c r="U57" s="129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1"/>
      <c r="AG57" s="132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4"/>
      <c r="AU57" s="132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8"/>
      <c r="BI57" s="132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8"/>
      <c r="BW57" s="132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8"/>
      <c r="CK57" s="142"/>
      <c r="CL57" s="133"/>
      <c r="CM57" s="133"/>
      <c r="CN57" s="133"/>
      <c r="CO57" s="133"/>
      <c r="CP57" s="133"/>
      <c r="CQ57" s="133"/>
      <c r="CR57" s="133"/>
      <c r="CS57" s="133"/>
      <c r="CT57" s="133"/>
      <c r="CU57" s="134"/>
      <c r="CV57" s="142"/>
      <c r="CW57" s="133"/>
      <c r="CX57" s="133"/>
      <c r="CY57" s="133"/>
      <c r="CZ57" s="133"/>
      <c r="DA57" s="133"/>
      <c r="DB57" s="133"/>
      <c r="DC57" s="133"/>
      <c r="DD57" s="133"/>
      <c r="DE57" s="134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1"/>
    </row>
    <row r="58" spans="1:123" s="9" customFormat="1" ht="12.75">
      <c r="A58" s="16"/>
      <c r="B58" s="17"/>
      <c r="C58" s="17"/>
      <c r="D58" s="18"/>
      <c r="E58" s="152" t="s">
        <v>287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4"/>
      <c r="U58" s="106">
        <v>1</v>
      </c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/>
      <c r="AG58" s="155">
        <f>AU58+BI58+BW58</f>
        <v>3642.1200000000003</v>
      </c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5"/>
      <c r="AU58" s="155">
        <f t="shared" si="1"/>
        <v>3642.1200000000003</v>
      </c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7"/>
      <c r="BI58" s="155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7"/>
      <c r="BW58" s="155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7"/>
      <c r="CK58" s="143"/>
      <c r="CL58" s="144"/>
      <c r="CM58" s="144"/>
      <c r="CN58" s="144"/>
      <c r="CO58" s="144"/>
      <c r="CP58" s="144"/>
      <c r="CQ58" s="144"/>
      <c r="CR58" s="144"/>
      <c r="CS58" s="144"/>
      <c r="CT58" s="144"/>
      <c r="CU58" s="145"/>
      <c r="CV58" s="143"/>
      <c r="CW58" s="144"/>
      <c r="CX58" s="144"/>
      <c r="CY58" s="144"/>
      <c r="CZ58" s="144"/>
      <c r="DA58" s="144"/>
      <c r="DB58" s="144"/>
      <c r="DC58" s="144"/>
      <c r="DD58" s="144"/>
      <c r="DE58" s="145"/>
      <c r="DF58" s="158">
        <v>10926.36</v>
      </c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60"/>
    </row>
    <row r="59" spans="1:138" s="9" customFormat="1" ht="12.75">
      <c r="A59" s="14"/>
      <c r="B59" s="10"/>
      <c r="C59" s="10"/>
      <c r="D59" s="15"/>
      <c r="E59" s="114" t="s">
        <v>288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03">
        <v>1</v>
      </c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5"/>
      <c r="AG59" s="109">
        <f t="shared" si="2"/>
        <v>4000.3633333333332</v>
      </c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1"/>
      <c r="AU59" s="109">
        <f t="shared" si="1"/>
        <v>4000.3633333333332</v>
      </c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6"/>
      <c r="BI59" s="109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6"/>
      <c r="BW59" s="109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6"/>
      <c r="CK59" s="112"/>
      <c r="CL59" s="110"/>
      <c r="CM59" s="110"/>
      <c r="CN59" s="110"/>
      <c r="CO59" s="110"/>
      <c r="CP59" s="110"/>
      <c r="CQ59" s="110"/>
      <c r="CR59" s="110"/>
      <c r="CS59" s="110"/>
      <c r="CT59" s="110"/>
      <c r="CU59" s="111"/>
      <c r="CV59" s="112"/>
      <c r="CW59" s="110"/>
      <c r="CX59" s="110"/>
      <c r="CY59" s="110"/>
      <c r="CZ59" s="110"/>
      <c r="DA59" s="110"/>
      <c r="DB59" s="110"/>
      <c r="DC59" s="110"/>
      <c r="DD59" s="110"/>
      <c r="DE59" s="111"/>
      <c r="DF59" s="146">
        <f>12001.09</f>
        <v>12001.09</v>
      </c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8"/>
      <c r="EH59" s="102"/>
    </row>
    <row r="60" spans="1:138" s="9" customFormat="1" ht="12.75">
      <c r="A60" s="14"/>
      <c r="B60" s="10"/>
      <c r="C60" s="10"/>
      <c r="D60" s="15"/>
      <c r="E60" s="114" t="s">
        <v>289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6"/>
      <c r="U60" s="103">
        <v>1</v>
      </c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5"/>
      <c r="AG60" s="109">
        <f t="shared" si="2"/>
        <v>3678.64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1"/>
      <c r="AU60" s="109">
        <f t="shared" si="1"/>
        <v>3678.64</v>
      </c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6"/>
      <c r="BI60" s="109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6"/>
      <c r="BW60" s="109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6"/>
      <c r="CK60" s="112"/>
      <c r="CL60" s="110"/>
      <c r="CM60" s="110"/>
      <c r="CN60" s="110"/>
      <c r="CO60" s="110"/>
      <c r="CP60" s="110"/>
      <c r="CQ60" s="110"/>
      <c r="CR60" s="110"/>
      <c r="CS60" s="110"/>
      <c r="CT60" s="110"/>
      <c r="CU60" s="111"/>
      <c r="CV60" s="112"/>
      <c r="CW60" s="110"/>
      <c r="CX60" s="110"/>
      <c r="CY60" s="110"/>
      <c r="CZ60" s="110"/>
      <c r="DA60" s="110"/>
      <c r="DB60" s="110"/>
      <c r="DC60" s="110"/>
      <c r="DD60" s="110"/>
      <c r="DE60" s="111"/>
      <c r="DF60" s="146">
        <v>11035.92</v>
      </c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8"/>
      <c r="EH60" s="102"/>
    </row>
    <row r="61" spans="1:123" s="9" customFormat="1" ht="12.75">
      <c r="A61" s="112" t="s">
        <v>30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1"/>
      <c r="U61" s="103" t="s">
        <v>31</v>
      </c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5"/>
      <c r="AG61" s="112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1"/>
      <c r="AU61" s="103" t="s">
        <v>31</v>
      </c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5"/>
      <c r="BI61" s="103" t="s">
        <v>31</v>
      </c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5"/>
      <c r="BW61" s="103" t="s">
        <v>31</v>
      </c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5"/>
      <c r="CK61" s="106" t="s">
        <v>31</v>
      </c>
      <c r="CL61" s="107"/>
      <c r="CM61" s="107"/>
      <c r="CN61" s="107"/>
      <c r="CO61" s="107"/>
      <c r="CP61" s="107"/>
      <c r="CQ61" s="107"/>
      <c r="CR61" s="107"/>
      <c r="CS61" s="107"/>
      <c r="CT61" s="107"/>
      <c r="CU61" s="108"/>
      <c r="CV61" s="103" t="s">
        <v>31</v>
      </c>
      <c r="CW61" s="104"/>
      <c r="CX61" s="104"/>
      <c r="CY61" s="104"/>
      <c r="CZ61" s="104"/>
      <c r="DA61" s="104"/>
      <c r="DB61" s="104"/>
      <c r="DC61" s="104"/>
      <c r="DD61" s="104"/>
      <c r="DE61" s="105"/>
      <c r="DF61" s="109">
        <f>SUM(DF20:DS60)</f>
        <v>485973.1399999999</v>
      </c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1"/>
    </row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</sheetData>
  <sheetProtection/>
  <mergeCells count="439">
    <mergeCell ref="AU60:BH60"/>
    <mergeCell ref="BI60:BV60"/>
    <mergeCell ref="BW60:CJ60"/>
    <mergeCell ref="CK60:CU60"/>
    <mergeCell ref="CV60:DE60"/>
    <mergeCell ref="DF60:DS60"/>
    <mergeCell ref="AU54:BH54"/>
    <mergeCell ref="BI54:BV54"/>
    <mergeCell ref="BW54:CJ54"/>
    <mergeCell ref="CK54:CU54"/>
    <mergeCell ref="CV54:DE54"/>
    <mergeCell ref="DF54:DS54"/>
    <mergeCell ref="AU53:BH53"/>
    <mergeCell ref="BI53:BV53"/>
    <mergeCell ref="BW53:CJ53"/>
    <mergeCell ref="CK53:CU53"/>
    <mergeCell ref="CV53:DE53"/>
    <mergeCell ref="DF53:DS53"/>
    <mergeCell ref="AU52:BH52"/>
    <mergeCell ref="BI52:BV52"/>
    <mergeCell ref="BW52:CJ52"/>
    <mergeCell ref="CK52:CU52"/>
    <mergeCell ref="CV52:DE52"/>
    <mergeCell ref="DF52:DS52"/>
    <mergeCell ref="AU51:BH51"/>
    <mergeCell ref="BI51:BV51"/>
    <mergeCell ref="BW51:CJ51"/>
    <mergeCell ref="CK51:CU51"/>
    <mergeCell ref="CV51:DE51"/>
    <mergeCell ref="DF51:DS51"/>
    <mergeCell ref="AU50:BH50"/>
    <mergeCell ref="BI50:BV50"/>
    <mergeCell ref="BW50:CJ50"/>
    <mergeCell ref="CK50:CU50"/>
    <mergeCell ref="CV50:DE50"/>
    <mergeCell ref="DF50:DS50"/>
    <mergeCell ref="DF48:DS48"/>
    <mergeCell ref="AU49:BH49"/>
    <mergeCell ref="BI49:BV49"/>
    <mergeCell ref="BW49:CJ49"/>
    <mergeCell ref="CK49:CU49"/>
    <mergeCell ref="CV49:DE49"/>
    <mergeCell ref="DF49:DS49"/>
    <mergeCell ref="AU47:BH47"/>
    <mergeCell ref="BI47:BV47"/>
    <mergeCell ref="CK47:CU47"/>
    <mergeCell ref="CV47:DE47"/>
    <mergeCell ref="DF47:DS47"/>
    <mergeCell ref="AU48:BH48"/>
    <mergeCell ref="BI48:BV48"/>
    <mergeCell ref="BW48:CJ48"/>
    <mergeCell ref="CK48:CU48"/>
    <mergeCell ref="CV48:DE48"/>
    <mergeCell ref="AU45:BH45"/>
    <mergeCell ref="CK45:CU45"/>
    <mergeCell ref="CV45:DE45"/>
    <mergeCell ref="DF45:DS45"/>
    <mergeCell ref="AU46:BH46"/>
    <mergeCell ref="CK46:CU46"/>
    <mergeCell ref="CV46:DE46"/>
    <mergeCell ref="DF46:DS46"/>
    <mergeCell ref="AU43:BH43"/>
    <mergeCell ref="CK43:CU43"/>
    <mergeCell ref="CV43:DE43"/>
    <mergeCell ref="DF43:DS43"/>
    <mergeCell ref="AU44:BH44"/>
    <mergeCell ref="CK44:CU44"/>
    <mergeCell ref="CV44:DE44"/>
    <mergeCell ref="DF44:DS44"/>
    <mergeCell ref="AU41:BH41"/>
    <mergeCell ref="CK41:CU41"/>
    <mergeCell ref="CV41:DE41"/>
    <mergeCell ref="DF41:DS41"/>
    <mergeCell ref="AU42:BH42"/>
    <mergeCell ref="CK42:CU42"/>
    <mergeCell ref="CV42:DE42"/>
    <mergeCell ref="DF42:DS42"/>
    <mergeCell ref="AU39:BH39"/>
    <mergeCell ref="CK39:CU39"/>
    <mergeCell ref="CV39:DE39"/>
    <mergeCell ref="DF39:DS39"/>
    <mergeCell ref="AU40:BH40"/>
    <mergeCell ref="CK40:CU40"/>
    <mergeCell ref="CV40:DE40"/>
    <mergeCell ref="DF40:DS40"/>
    <mergeCell ref="AU37:BH37"/>
    <mergeCell ref="CK37:CU37"/>
    <mergeCell ref="CV37:DE37"/>
    <mergeCell ref="DF37:DS37"/>
    <mergeCell ref="AU38:BH38"/>
    <mergeCell ref="CK38:CU38"/>
    <mergeCell ref="CV38:DE38"/>
    <mergeCell ref="DF38:DS38"/>
    <mergeCell ref="AU35:BH35"/>
    <mergeCell ref="CK35:CU35"/>
    <mergeCell ref="CV35:DE35"/>
    <mergeCell ref="DF35:DS35"/>
    <mergeCell ref="AU36:BH36"/>
    <mergeCell ref="CK36:CU36"/>
    <mergeCell ref="CV36:DE36"/>
    <mergeCell ref="DF36:DS36"/>
    <mergeCell ref="AU33:BH33"/>
    <mergeCell ref="CK33:CU33"/>
    <mergeCell ref="CV33:DE33"/>
    <mergeCell ref="DF33:DS33"/>
    <mergeCell ref="AU34:BH34"/>
    <mergeCell ref="CK34:CU34"/>
    <mergeCell ref="CV34:DE34"/>
    <mergeCell ref="DF34:DS34"/>
    <mergeCell ref="AU31:BH31"/>
    <mergeCell ref="CK31:CU31"/>
    <mergeCell ref="CV31:DE31"/>
    <mergeCell ref="DF31:DS31"/>
    <mergeCell ref="AU32:BH32"/>
    <mergeCell ref="CK32:CU32"/>
    <mergeCell ref="CV32:DE32"/>
    <mergeCell ref="DF32:DS32"/>
    <mergeCell ref="AU29:BH29"/>
    <mergeCell ref="CK29:CU29"/>
    <mergeCell ref="CV29:DE29"/>
    <mergeCell ref="DF29:DS29"/>
    <mergeCell ref="AU30:BH30"/>
    <mergeCell ref="CK30:CU30"/>
    <mergeCell ref="CV30:DE30"/>
    <mergeCell ref="DF30:DS30"/>
    <mergeCell ref="AU27:BH27"/>
    <mergeCell ref="CK27:CU27"/>
    <mergeCell ref="CV27:DE27"/>
    <mergeCell ref="DF27:DS27"/>
    <mergeCell ref="AU28:BH28"/>
    <mergeCell ref="CK28:CU28"/>
    <mergeCell ref="CV28:DE28"/>
    <mergeCell ref="DF28:DS28"/>
    <mergeCell ref="AU25:BH25"/>
    <mergeCell ref="CK25:CU25"/>
    <mergeCell ref="CV25:DE25"/>
    <mergeCell ref="DF25:DS25"/>
    <mergeCell ref="AU26:BH26"/>
    <mergeCell ref="CK26:CU26"/>
    <mergeCell ref="CV26:DE26"/>
    <mergeCell ref="DF26:DS26"/>
    <mergeCell ref="AU23:BH23"/>
    <mergeCell ref="CK23:CU23"/>
    <mergeCell ref="CV23:DE23"/>
    <mergeCell ref="DF23:DS23"/>
    <mergeCell ref="AU24:BH24"/>
    <mergeCell ref="CK24:CU24"/>
    <mergeCell ref="CV24:DE24"/>
    <mergeCell ref="DF24:DS24"/>
    <mergeCell ref="AU21:BH21"/>
    <mergeCell ref="CK21:CU21"/>
    <mergeCell ref="CV21:DE21"/>
    <mergeCell ref="DF21:DS21"/>
    <mergeCell ref="AU22:BH22"/>
    <mergeCell ref="CK22:CU22"/>
    <mergeCell ref="CV22:DE22"/>
    <mergeCell ref="DF22:DS22"/>
    <mergeCell ref="AU20:BH20"/>
    <mergeCell ref="BI20:BV20"/>
    <mergeCell ref="BW20:CJ20"/>
    <mergeCell ref="CK20:CU20"/>
    <mergeCell ref="CV20:DE20"/>
    <mergeCell ref="DF20:DS20"/>
    <mergeCell ref="BI46:BV46"/>
    <mergeCell ref="BW46:CJ46"/>
    <mergeCell ref="BW47:CJ47"/>
    <mergeCell ref="BI21:BV21"/>
    <mergeCell ref="BW21:CJ21"/>
    <mergeCell ref="BI23:BV23"/>
    <mergeCell ref="BW23:CJ23"/>
    <mergeCell ref="BI43:BV43"/>
    <mergeCell ref="BW43:CJ43"/>
    <mergeCell ref="BI44:BV44"/>
    <mergeCell ref="BW44:CJ44"/>
    <mergeCell ref="BI45:BV45"/>
    <mergeCell ref="BW45:CJ45"/>
    <mergeCell ref="BI40:BV40"/>
    <mergeCell ref="BW40:CJ40"/>
    <mergeCell ref="BI41:BV41"/>
    <mergeCell ref="BW41:CJ41"/>
    <mergeCell ref="BI42:BV42"/>
    <mergeCell ref="BW42:CJ42"/>
    <mergeCell ref="BI37:BV37"/>
    <mergeCell ref="BW37:CJ37"/>
    <mergeCell ref="BI38:BV38"/>
    <mergeCell ref="BW38:CJ38"/>
    <mergeCell ref="BI39:BV39"/>
    <mergeCell ref="BW39:CJ39"/>
    <mergeCell ref="BI34:BV34"/>
    <mergeCell ref="BW34:CJ34"/>
    <mergeCell ref="BI35:BV35"/>
    <mergeCell ref="BW35:CJ35"/>
    <mergeCell ref="BI36:BV36"/>
    <mergeCell ref="BW36:CJ36"/>
    <mergeCell ref="BI30:BV30"/>
    <mergeCell ref="BW30:CJ30"/>
    <mergeCell ref="BI31:BV31"/>
    <mergeCell ref="BW31:CJ31"/>
    <mergeCell ref="BI33:BV33"/>
    <mergeCell ref="BW33:CJ33"/>
    <mergeCell ref="BW26:CJ26"/>
    <mergeCell ref="BI27:BV27"/>
    <mergeCell ref="BW27:CJ27"/>
    <mergeCell ref="BI28:BV28"/>
    <mergeCell ref="BW28:CJ28"/>
    <mergeCell ref="BI29:BV29"/>
    <mergeCell ref="BW29:CJ29"/>
    <mergeCell ref="AG53:AT53"/>
    <mergeCell ref="AG54:AT54"/>
    <mergeCell ref="AG60:AT60"/>
    <mergeCell ref="BI22:BV22"/>
    <mergeCell ref="BW22:CJ22"/>
    <mergeCell ref="BI24:BV24"/>
    <mergeCell ref="BW24:CJ24"/>
    <mergeCell ref="BI25:BV25"/>
    <mergeCell ref="BW25:CJ25"/>
    <mergeCell ref="BI26:BV26"/>
    <mergeCell ref="AG47:AT47"/>
    <mergeCell ref="AG48:AT48"/>
    <mergeCell ref="AG49:AT49"/>
    <mergeCell ref="AG50:AT50"/>
    <mergeCell ref="AG51:AT51"/>
    <mergeCell ref="AG52:AT52"/>
    <mergeCell ref="AG41:AT41"/>
    <mergeCell ref="AG42:AT42"/>
    <mergeCell ref="AG43:AT43"/>
    <mergeCell ref="AG44:AT44"/>
    <mergeCell ref="AG45:AT45"/>
    <mergeCell ref="AG46:AT46"/>
    <mergeCell ref="AG35:AT35"/>
    <mergeCell ref="AG36:AT36"/>
    <mergeCell ref="AG37:AT37"/>
    <mergeCell ref="AG38:AT38"/>
    <mergeCell ref="AG39:AT39"/>
    <mergeCell ref="AG40:AT40"/>
    <mergeCell ref="AG29:AT29"/>
    <mergeCell ref="AG30:AT30"/>
    <mergeCell ref="AG31:AT31"/>
    <mergeCell ref="AG32:AT32"/>
    <mergeCell ref="AG33:AT33"/>
    <mergeCell ref="AG34:AT34"/>
    <mergeCell ref="U60:AF60"/>
    <mergeCell ref="AG20:AT20"/>
    <mergeCell ref="AG21:AT21"/>
    <mergeCell ref="AG22:AT22"/>
    <mergeCell ref="AG23:AT23"/>
    <mergeCell ref="AG24:AT24"/>
    <mergeCell ref="AG25:AT25"/>
    <mergeCell ref="AG26:AT26"/>
    <mergeCell ref="AG27:AT27"/>
    <mergeCell ref="AG28:AT28"/>
    <mergeCell ref="U49:AF49"/>
    <mergeCell ref="U50:AF50"/>
    <mergeCell ref="U51:AF51"/>
    <mergeCell ref="U52:AF52"/>
    <mergeCell ref="U53:AF53"/>
    <mergeCell ref="U54:AF54"/>
    <mergeCell ref="U43:AF43"/>
    <mergeCell ref="U44:AF44"/>
    <mergeCell ref="U45:AF45"/>
    <mergeCell ref="U46:AF46"/>
    <mergeCell ref="U47:AF47"/>
    <mergeCell ref="U48:AF48"/>
    <mergeCell ref="U37:AF37"/>
    <mergeCell ref="U38:AF38"/>
    <mergeCell ref="U39:AF39"/>
    <mergeCell ref="U40:AF40"/>
    <mergeCell ref="U41:AF41"/>
    <mergeCell ref="U42:AF42"/>
    <mergeCell ref="U31:AF31"/>
    <mergeCell ref="U32:AF32"/>
    <mergeCell ref="U33:AF33"/>
    <mergeCell ref="U34:AF34"/>
    <mergeCell ref="U35:AF35"/>
    <mergeCell ref="U36:AF36"/>
    <mergeCell ref="E53:T53"/>
    <mergeCell ref="E54:T54"/>
    <mergeCell ref="E60:T60"/>
    <mergeCell ref="U20:AF20"/>
    <mergeCell ref="U21:AF21"/>
    <mergeCell ref="U22:AF22"/>
    <mergeCell ref="U23:AF23"/>
    <mergeCell ref="U24:AF24"/>
    <mergeCell ref="U25:AF25"/>
    <mergeCell ref="U26:AF26"/>
    <mergeCell ref="E47:T47"/>
    <mergeCell ref="E48:T48"/>
    <mergeCell ref="E49:T49"/>
    <mergeCell ref="E50:T50"/>
    <mergeCell ref="E51:T51"/>
    <mergeCell ref="E52:T52"/>
    <mergeCell ref="E41:T41"/>
    <mergeCell ref="E42:T42"/>
    <mergeCell ref="E43:T43"/>
    <mergeCell ref="E44:T44"/>
    <mergeCell ref="E45:T45"/>
    <mergeCell ref="E46:T46"/>
    <mergeCell ref="E35:T35"/>
    <mergeCell ref="E36:T36"/>
    <mergeCell ref="E37:T37"/>
    <mergeCell ref="E38:T38"/>
    <mergeCell ref="E39:T39"/>
    <mergeCell ref="E40:T40"/>
    <mergeCell ref="E29:T29"/>
    <mergeCell ref="E30:T30"/>
    <mergeCell ref="E31:T31"/>
    <mergeCell ref="E32:T32"/>
    <mergeCell ref="E33:T33"/>
    <mergeCell ref="E34:T34"/>
    <mergeCell ref="DF58:DS58"/>
    <mergeCell ref="E20:T20"/>
    <mergeCell ref="E21:T21"/>
    <mergeCell ref="E22:T22"/>
    <mergeCell ref="E23:T23"/>
    <mergeCell ref="E24:T24"/>
    <mergeCell ref="E25:T25"/>
    <mergeCell ref="E26:T26"/>
    <mergeCell ref="E27:T27"/>
    <mergeCell ref="E28:T28"/>
    <mergeCell ref="DF55:DS55"/>
    <mergeCell ref="DF56:DS56"/>
    <mergeCell ref="DF57:DS57"/>
    <mergeCell ref="DF59:DS59"/>
    <mergeCell ref="E58:T58"/>
    <mergeCell ref="U58:AF58"/>
    <mergeCell ref="AG58:AT58"/>
    <mergeCell ref="AU58:BH58"/>
    <mergeCell ref="BI58:BV58"/>
    <mergeCell ref="BW58:CJ58"/>
    <mergeCell ref="CK55:CU55"/>
    <mergeCell ref="CK56:CU56"/>
    <mergeCell ref="CK57:CU57"/>
    <mergeCell ref="CK59:CU59"/>
    <mergeCell ref="CV55:DE55"/>
    <mergeCell ref="CV56:DE56"/>
    <mergeCell ref="CV57:DE57"/>
    <mergeCell ref="CV59:DE59"/>
    <mergeCell ref="CK58:CU58"/>
    <mergeCell ref="CV58:DE58"/>
    <mergeCell ref="A4:DS4"/>
    <mergeCell ref="A6:DS6"/>
    <mergeCell ref="T8:DS8"/>
    <mergeCell ref="AH10:DS10"/>
    <mergeCell ref="A12:DS12"/>
    <mergeCell ref="DF14:DS14"/>
    <mergeCell ref="A14:D14"/>
    <mergeCell ref="CK14:CU14"/>
    <mergeCell ref="AG14:CJ14"/>
    <mergeCell ref="U14:AF14"/>
    <mergeCell ref="DF15:DS15"/>
    <mergeCell ref="DF16:DS16"/>
    <mergeCell ref="DF17:DS17"/>
    <mergeCell ref="DF18:DS18"/>
    <mergeCell ref="DF19:DS19"/>
    <mergeCell ref="AU59:BH59"/>
    <mergeCell ref="BI59:BV59"/>
    <mergeCell ref="BW56:CJ56"/>
    <mergeCell ref="BW57:CJ57"/>
    <mergeCell ref="BW59:CJ59"/>
    <mergeCell ref="CV14:DE14"/>
    <mergeCell ref="CV15:DE15"/>
    <mergeCell ref="CV16:DE16"/>
    <mergeCell ref="CV17:DE17"/>
    <mergeCell ref="CV18:DE18"/>
    <mergeCell ref="CV19:DE19"/>
    <mergeCell ref="CK15:CU15"/>
    <mergeCell ref="CK16:CU16"/>
    <mergeCell ref="CK17:CU17"/>
    <mergeCell ref="CK18:CU18"/>
    <mergeCell ref="CK19:CU19"/>
    <mergeCell ref="AU57:BH57"/>
    <mergeCell ref="BI55:BV55"/>
    <mergeCell ref="BI56:BV56"/>
    <mergeCell ref="BI57:BV57"/>
    <mergeCell ref="BW55:CJ55"/>
    <mergeCell ref="AU18:BH18"/>
    <mergeCell ref="AU19:BH19"/>
    <mergeCell ref="AU55:BH55"/>
    <mergeCell ref="AU56:BH56"/>
    <mergeCell ref="BI32:BV32"/>
    <mergeCell ref="BW16:CJ16"/>
    <mergeCell ref="BW17:CJ17"/>
    <mergeCell ref="BW18:CJ18"/>
    <mergeCell ref="BW19:CJ19"/>
    <mergeCell ref="BW32:CJ32"/>
    <mergeCell ref="BI16:BV16"/>
    <mergeCell ref="BI17:BV17"/>
    <mergeCell ref="AU15:CJ15"/>
    <mergeCell ref="AG15:AT15"/>
    <mergeCell ref="AG16:AT16"/>
    <mergeCell ref="AG17:AT17"/>
    <mergeCell ref="AU16:BH16"/>
    <mergeCell ref="AU17:BH17"/>
    <mergeCell ref="AG18:AT18"/>
    <mergeCell ref="AG19:AT19"/>
    <mergeCell ref="BI18:BV18"/>
    <mergeCell ref="BI19:BV19"/>
    <mergeCell ref="U57:AF57"/>
    <mergeCell ref="U59:AF59"/>
    <mergeCell ref="AG55:AT55"/>
    <mergeCell ref="AG56:AT56"/>
    <mergeCell ref="AG57:AT57"/>
    <mergeCell ref="AG59:AT59"/>
    <mergeCell ref="U15:AF15"/>
    <mergeCell ref="U16:AF16"/>
    <mergeCell ref="U17:AF17"/>
    <mergeCell ref="U18:AF18"/>
    <mergeCell ref="U19:AF19"/>
    <mergeCell ref="U56:AF56"/>
    <mergeCell ref="U27:AF27"/>
    <mergeCell ref="U28:AF28"/>
    <mergeCell ref="U29:AF29"/>
    <mergeCell ref="U30:AF30"/>
    <mergeCell ref="E14:T14"/>
    <mergeCell ref="E15:T15"/>
    <mergeCell ref="E16:T16"/>
    <mergeCell ref="E17:T17"/>
    <mergeCell ref="E18:T18"/>
    <mergeCell ref="E19:T19"/>
    <mergeCell ref="BI61:BV61"/>
    <mergeCell ref="A15:D15"/>
    <mergeCell ref="A16:D16"/>
    <mergeCell ref="A17:D17"/>
    <mergeCell ref="A18:D18"/>
    <mergeCell ref="A19:D19"/>
    <mergeCell ref="E56:T56"/>
    <mergeCell ref="E57:T57"/>
    <mergeCell ref="E59:T59"/>
    <mergeCell ref="U55:AF55"/>
    <mergeCell ref="BW61:CJ61"/>
    <mergeCell ref="CK61:CU61"/>
    <mergeCell ref="CV61:DE61"/>
    <mergeCell ref="DF61:DS61"/>
    <mergeCell ref="A61:T61"/>
    <mergeCell ref="CF2:DS2"/>
    <mergeCell ref="U61:AF61"/>
    <mergeCell ref="AG61:AT61"/>
    <mergeCell ref="AU61:BH61"/>
    <mergeCell ref="E55:T5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131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28.875" style="0" customWidth="1"/>
    <col min="2" max="2" width="9.00390625" style="0" customWidth="1"/>
    <col min="3" max="3" width="14.25390625" style="0" customWidth="1"/>
    <col min="4" max="4" width="12.25390625" style="0" customWidth="1"/>
    <col min="5" max="5" width="15.75390625" style="0" customWidth="1"/>
    <col min="6" max="6" width="13.375" style="0" customWidth="1"/>
    <col min="7" max="7" width="16.375" style="0" customWidth="1"/>
    <col min="8" max="8" width="14.75390625" style="0" customWidth="1"/>
    <col min="9" max="9" width="13.125" style="0" customWidth="1"/>
    <col min="10" max="10" width="14.75390625" style="0" customWidth="1"/>
    <col min="11" max="11" width="13.375" style="0" customWidth="1"/>
    <col min="12" max="12" width="13.875" style="0" customWidth="1"/>
    <col min="13" max="13" width="14.25390625" style="0" customWidth="1"/>
    <col min="16" max="17" width="10.125" style="0" bestFit="1" customWidth="1"/>
  </cols>
  <sheetData>
    <row r="1" spans="1:13" ht="12.75">
      <c r="A1" s="175" t="s">
        <v>151</v>
      </c>
      <c r="B1" s="177" t="s">
        <v>152</v>
      </c>
      <c r="C1" s="177"/>
      <c r="D1" s="173" t="s">
        <v>153</v>
      </c>
      <c r="E1" s="178" t="s">
        <v>12</v>
      </c>
      <c r="F1" s="179"/>
      <c r="G1" s="173" t="s">
        <v>154</v>
      </c>
      <c r="H1" s="173" t="s">
        <v>155</v>
      </c>
      <c r="I1" s="174" t="s">
        <v>156</v>
      </c>
      <c r="J1" s="174" t="s">
        <v>157</v>
      </c>
      <c r="K1" s="175" t="s">
        <v>158</v>
      </c>
      <c r="L1" s="175" t="s">
        <v>159</v>
      </c>
      <c r="M1" s="175" t="s">
        <v>160</v>
      </c>
    </row>
    <row r="2" spans="1:13" ht="36">
      <c r="A2" s="176"/>
      <c r="B2" s="23" t="s">
        <v>11</v>
      </c>
      <c r="C2" s="24" t="s">
        <v>161</v>
      </c>
      <c r="D2" s="173"/>
      <c r="E2" s="24" t="s">
        <v>162</v>
      </c>
      <c r="F2" s="24" t="s">
        <v>163</v>
      </c>
      <c r="G2" s="173"/>
      <c r="H2" s="173"/>
      <c r="I2" s="174"/>
      <c r="J2" s="174"/>
      <c r="K2" s="176"/>
      <c r="L2" s="176"/>
      <c r="M2" s="176"/>
    </row>
    <row r="3" spans="1:17" ht="24.75" thickBot="1">
      <c r="A3" s="22" t="s">
        <v>164</v>
      </c>
      <c r="B3" s="25">
        <f aca="true" t="shared" si="0" ref="B3:M3">SUM(B4:B131)</f>
        <v>363</v>
      </c>
      <c r="C3" s="25">
        <f t="shared" si="0"/>
        <v>20</v>
      </c>
      <c r="D3" s="26">
        <f t="shared" si="0"/>
        <v>3227991.81</v>
      </c>
      <c r="E3" s="26">
        <f t="shared" si="0"/>
        <v>198720</v>
      </c>
      <c r="F3" s="26">
        <f t="shared" si="0"/>
        <v>3029271.81</v>
      </c>
      <c r="G3" s="26">
        <f t="shared" si="0"/>
        <v>292678.32999999996</v>
      </c>
      <c r="H3" s="26">
        <f t="shared" si="0"/>
        <v>645598.362</v>
      </c>
      <c r="I3" s="26">
        <f t="shared" si="0"/>
        <v>382356</v>
      </c>
      <c r="J3" s="26">
        <f t="shared" si="0"/>
        <v>4548624.502000001</v>
      </c>
      <c r="K3" s="26">
        <f t="shared" si="0"/>
        <v>54583494.02400001</v>
      </c>
      <c r="L3" s="26">
        <f t="shared" si="0"/>
        <v>16484215.195248006</v>
      </c>
      <c r="M3" s="26">
        <f t="shared" si="0"/>
        <v>71067709.21924801</v>
      </c>
      <c r="P3">
        <f>D3/100*7</f>
        <v>225959.42669999998</v>
      </c>
      <c r="Q3">
        <f>D3/100*20</f>
        <v>645598.362</v>
      </c>
    </row>
    <row r="4" spans="1:17" ht="12.75">
      <c r="A4" s="27" t="s">
        <v>165</v>
      </c>
      <c r="B4" s="28">
        <v>1</v>
      </c>
      <c r="C4" s="29"/>
      <c r="D4" s="30">
        <v>23100</v>
      </c>
      <c r="E4" s="30"/>
      <c r="F4" s="30">
        <f>D4</f>
        <v>23100</v>
      </c>
      <c r="G4" s="30">
        <f>D4*70%</f>
        <v>16169.999999999998</v>
      </c>
      <c r="H4" s="30">
        <f>D4*50%</f>
        <v>11550</v>
      </c>
      <c r="I4" s="30"/>
      <c r="J4" s="30">
        <f>D4+G4+H4+I4</f>
        <v>50820</v>
      </c>
      <c r="K4" s="31">
        <f aca="true" t="shared" si="1" ref="K4:K59">J4*12</f>
        <v>609840</v>
      </c>
      <c r="L4" s="31">
        <f aca="true" t="shared" si="2" ref="L4:L59">K4*0.302</f>
        <v>184171.68</v>
      </c>
      <c r="M4" s="31">
        <f aca="true" t="shared" si="3" ref="M4:M59">K4+L4</f>
        <v>794011.6799999999</v>
      </c>
      <c r="P4" s="32">
        <f>G3-P3</f>
        <v>66718.90329999998</v>
      </c>
      <c r="Q4" s="32">
        <f>H3-Q3</f>
        <v>0</v>
      </c>
    </row>
    <row r="5" spans="1:13" ht="12.75">
      <c r="A5" s="33" t="s">
        <v>166</v>
      </c>
      <c r="B5" s="34"/>
      <c r="C5" s="35"/>
      <c r="D5" s="36"/>
      <c r="E5" s="36"/>
      <c r="F5" s="36"/>
      <c r="G5" s="36"/>
      <c r="H5" s="36"/>
      <c r="I5" s="36"/>
      <c r="J5" s="36"/>
      <c r="K5" s="37"/>
      <c r="L5" s="37"/>
      <c r="M5" s="37"/>
    </row>
    <row r="6" spans="1:13" ht="12.75">
      <c r="A6" s="38" t="s">
        <v>167</v>
      </c>
      <c r="B6" s="39">
        <v>1</v>
      </c>
      <c r="C6" s="40"/>
      <c r="D6" s="41">
        <f>D4*90%</f>
        <v>20790</v>
      </c>
      <c r="E6" s="42"/>
      <c r="F6" s="42">
        <f aca="true" t="shared" si="4" ref="F6:F69">D6</f>
        <v>20790</v>
      </c>
      <c r="G6" s="42"/>
      <c r="H6" s="42">
        <f aca="true" t="shared" si="5" ref="H6:H69">D6*20%</f>
        <v>4158</v>
      </c>
      <c r="I6" s="42"/>
      <c r="J6" s="42">
        <f aca="true" t="shared" si="6" ref="J6:J69">D6+G6+H6+I6</f>
        <v>24948</v>
      </c>
      <c r="K6" s="43">
        <f t="shared" si="1"/>
        <v>299376</v>
      </c>
      <c r="L6" s="43">
        <f t="shared" si="2"/>
        <v>90411.552</v>
      </c>
      <c r="M6" s="43">
        <f t="shared" si="3"/>
        <v>389787.552</v>
      </c>
    </row>
    <row r="7" spans="1:13" ht="12.75">
      <c r="A7" s="44" t="s">
        <v>168</v>
      </c>
      <c r="B7" s="45"/>
      <c r="C7" s="46"/>
      <c r="D7" s="47"/>
      <c r="E7" s="47"/>
      <c r="F7" s="47"/>
      <c r="G7" s="42"/>
      <c r="H7" s="47"/>
      <c r="I7" s="47"/>
      <c r="J7" s="47"/>
      <c r="K7" s="48"/>
      <c r="L7" s="48"/>
      <c r="M7" s="48"/>
    </row>
    <row r="8" spans="1:13" ht="12.75">
      <c r="A8" s="38" t="s">
        <v>166</v>
      </c>
      <c r="B8" s="39"/>
      <c r="C8" s="35"/>
      <c r="D8" s="36"/>
      <c r="E8" s="36"/>
      <c r="F8" s="36"/>
      <c r="G8" s="36"/>
      <c r="H8" s="36"/>
      <c r="I8" s="36"/>
      <c r="J8" s="36"/>
      <c r="K8" s="37"/>
      <c r="L8" s="37"/>
      <c r="M8" s="37"/>
    </row>
    <row r="9" spans="1:13" ht="12.75">
      <c r="A9" s="38" t="s">
        <v>169</v>
      </c>
      <c r="B9" s="39">
        <v>1</v>
      </c>
      <c r="C9" s="40"/>
      <c r="D9" s="42">
        <f>D6</f>
        <v>20790</v>
      </c>
      <c r="E9" s="42"/>
      <c r="F9" s="42">
        <f t="shared" si="4"/>
        <v>20790</v>
      </c>
      <c r="G9" s="42"/>
      <c r="H9" s="42">
        <f t="shared" si="5"/>
        <v>4158</v>
      </c>
      <c r="I9" s="42"/>
      <c r="J9" s="42">
        <f t="shared" si="6"/>
        <v>24948</v>
      </c>
      <c r="K9" s="43">
        <f t="shared" si="1"/>
        <v>299376</v>
      </c>
      <c r="L9" s="43">
        <f t="shared" si="2"/>
        <v>90411.552</v>
      </c>
      <c r="M9" s="43">
        <f t="shared" si="3"/>
        <v>389787.552</v>
      </c>
    </row>
    <row r="10" spans="1:13" ht="12.75">
      <c r="A10" s="44" t="s">
        <v>170</v>
      </c>
      <c r="B10" s="45"/>
      <c r="C10" s="46"/>
      <c r="D10" s="47"/>
      <c r="E10" s="47"/>
      <c r="F10" s="47"/>
      <c r="G10" s="47"/>
      <c r="H10" s="47"/>
      <c r="I10" s="47"/>
      <c r="J10" s="47"/>
      <c r="K10" s="48"/>
      <c r="L10" s="48"/>
      <c r="M10" s="48"/>
    </row>
    <row r="11" spans="1:13" ht="12.75">
      <c r="A11" s="27" t="s">
        <v>171</v>
      </c>
      <c r="B11" s="28">
        <v>1</v>
      </c>
      <c r="C11" s="49"/>
      <c r="D11" s="50">
        <f>D6</f>
        <v>20790</v>
      </c>
      <c r="E11" s="51"/>
      <c r="F11" s="51">
        <f t="shared" si="4"/>
        <v>20790</v>
      </c>
      <c r="G11" s="42"/>
      <c r="H11" s="51">
        <f t="shared" si="5"/>
        <v>4158</v>
      </c>
      <c r="I11" s="51"/>
      <c r="J11" s="51">
        <f t="shared" si="6"/>
        <v>24948</v>
      </c>
      <c r="K11" s="52">
        <f t="shared" si="1"/>
        <v>299376</v>
      </c>
      <c r="L11" s="52">
        <f t="shared" si="2"/>
        <v>90411.552</v>
      </c>
      <c r="M11" s="52">
        <f t="shared" si="3"/>
        <v>389787.552</v>
      </c>
    </row>
    <row r="12" spans="1:13" ht="12.75">
      <c r="A12" s="27" t="s">
        <v>172</v>
      </c>
      <c r="B12" s="28">
        <v>1</v>
      </c>
      <c r="C12" s="49"/>
      <c r="D12" s="51">
        <v>9450</v>
      </c>
      <c r="E12" s="51"/>
      <c r="F12" s="51">
        <f t="shared" si="4"/>
        <v>9450</v>
      </c>
      <c r="G12" s="51">
        <f>D12*7%</f>
        <v>661.5000000000001</v>
      </c>
      <c r="H12" s="51">
        <f t="shared" si="5"/>
        <v>1890</v>
      </c>
      <c r="I12" s="51"/>
      <c r="J12" s="51">
        <f t="shared" si="6"/>
        <v>12001.5</v>
      </c>
      <c r="K12" s="52">
        <f t="shared" si="1"/>
        <v>144018</v>
      </c>
      <c r="L12" s="52">
        <f t="shared" si="2"/>
        <v>43493.436</v>
      </c>
      <c r="M12" s="52">
        <f t="shared" si="3"/>
        <v>187511.436</v>
      </c>
    </row>
    <row r="13" spans="1:13" ht="12.75">
      <c r="A13" s="27" t="s">
        <v>173</v>
      </c>
      <c r="B13" s="28">
        <v>4</v>
      </c>
      <c r="C13" s="35"/>
      <c r="D13" s="36">
        <f>7518*4</f>
        <v>30072</v>
      </c>
      <c r="E13" s="36"/>
      <c r="F13" s="36">
        <f t="shared" si="4"/>
        <v>30072</v>
      </c>
      <c r="G13" s="42">
        <f>D13*7%</f>
        <v>2105.0400000000004</v>
      </c>
      <c r="H13" s="36">
        <f t="shared" si="5"/>
        <v>6014.400000000001</v>
      </c>
      <c r="I13" s="36"/>
      <c r="J13" s="36">
        <f t="shared" si="6"/>
        <v>38191.44</v>
      </c>
      <c r="K13" s="37">
        <f t="shared" si="1"/>
        <v>458297.28</v>
      </c>
      <c r="L13" s="37">
        <f t="shared" si="2"/>
        <v>138405.77856</v>
      </c>
      <c r="M13" s="37">
        <f t="shared" si="3"/>
        <v>596703.05856</v>
      </c>
    </row>
    <row r="14" spans="1:13" ht="12.75">
      <c r="A14" s="33" t="s">
        <v>174</v>
      </c>
      <c r="B14" s="34"/>
      <c r="C14" s="35"/>
      <c r="D14" s="36"/>
      <c r="E14" s="36"/>
      <c r="F14" s="36"/>
      <c r="G14" s="36"/>
      <c r="H14" s="36"/>
      <c r="I14" s="36"/>
      <c r="J14" s="36"/>
      <c r="K14" s="37"/>
      <c r="L14" s="37"/>
      <c r="M14" s="37"/>
    </row>
    <row r="15" spans="1:13" ht="12.75">
      <c r="A15" s="44" t="s">
        <v>175</v>
      </c>
      <c r="B15" s="45">
        <v>1</v>
      </c>
      <c r="C15" s="46"/>
      <c r="D15" s="47">
        <v>9450</v>
      </c>
      <c r="E15" s="47"/>
      <c r="F15" s="47">
        <f t="shared" si="4"/>
        <v>9450</v>
      </c>
      <c r="G15" s="47">
        <f>D15*7%</f>
        <v>661.5000000000001</v>
      </c>
      <c r="H15" s="47">
        <f t="shared" si="5"/>
        <v>1890</v>
      </c>
      <c r="I15" s="47"/>
      <c r="J15" s="47">
        <f t="shared" si="6"/>
        <v>12001.5</v>
      </c>
      <c r="K15" s="48">
        <f t="shared" si="1"/>
        <v>144018</v>
      </c>
      <c r="L15" s="48">
        <f t="shared" si="2"/>
        <v>43493.436</v>
      </c>
      <c r="M15" s="48">
        <f t="shared" si="3"/>
        <v>187511.436</v>
      </c>
    </row>
    <row r="16" spans="1:13" ht="12.75">
      <c r="A16" s="33" t="s">
        <v>176</v>
      </c>
      <c r="B16" s="34"/>
      <c r="C16" s="35"/>
      <c r="D16" s="36"/>
      <c r="E16" s="36"/>
      <c r="F16" s="36"/>
      <c r="G16" s="36"/>
      <c r="H16" s="36"/>
      <c r="I16" s="36"/>
      <c r="J16" s="36"/>
      <c r="K16" s="37"/>
      <c r="L16" s="37"/>
      <c r="M16" s="37"/>
    </row>
    <row r="17" spans="1:13" ht="12.75">
      <c r="A17" s="38" t="s">
        <v>177</v>
      </c>
      <c r="B17" s="39">
        <v>1</v>
      </c>
      <c r="C17" s="40"/>
      <c r="D17" s="42">
        <v>7518</v>
      </c>
      <c r="E17" s="42"/>
      <c r="F17" s="42">
        <f t="shared" si="4"/>
        <v>7518</v>
      </c>
      <c r="G17" s="42">
        <f>D17*7%</f>
        <v>526.2600000000001</v>
      </c>
      <c r="H17" s="42">
        <f t="shared" si="5"/>
        <v>1503.6000000000001</v>
      </c>
      <c r="I17" s="42"/>
      <c r="J17" s="42">
        <f t="shared" si="6"/>
        <v>9547.86</v>
      </c>
      <c r="K17" s="43">
        <f t="shared" si="1"/>
        <v>114574.32</v>
      </c>
      <c r="L17" s="43">
        <f t="shared" si="2"/>
        <v>34601.44464</v>
      </c>
      <c r="M17" s="43">
        <f t="shared" si="3"/>
        <v>149175.76464</v>
      </c>
    </row>
    <row r="18" spans="1:13" ht="12.75">
      <c r="A18" s="44" t="s">
        <v>178</v>
      </c>
      <c r="B18" s="45"/>
      <c r="C18" s="46"/>
      <c r="D18" s="47"/>
      <c r="E18" s="47"/>
      <c r="F18" s="47"/>
      <c r="G18" s="47"/>
      <c r="H18" s="47"/>
      <c r="I18" s="47"/>
      <c r="J18" s="47"/>
      <c r="K18" s="48"/>
      <c r="L18" s="48"/>
      <c r="M18" s="48"/>
    </row>
    <row r="19" spans="1:13" ht="12.75">
      <c r="A19" s="44" t="s">
        <v>179</v>
      </c>
      <c r="B19" s="45">
        <v>2</v>
      </c>
      <c r="C19" s="46"/>
      <c r="D19" s="47">
        <f>7518*2</f>
        <v>15036</v>
      </c>
      <c r="E19" s="47"/>
      <c r="F19" s="47">
        <f t="shared" si="4"/>
        <v>15036</v>
      </c>
      <c r="G19" s="51">
        <f>D19*7%</f>
        <v>1052.5200000000002</v>
      </c>
      <c r="H19" s="47">
        <f t="shared" si="5"/>
        <v>3007.2000000000003</v>
      </c>
      <c r="I19" s="47"/>
      <c r="J19" s="47">
        <f t="shared" si="6"/>
        <v>19095.72</v>
      </c>
      <c r="K19" s="48">
        <f t="shared" si="1"/>
        <v>229148.64</v>
      </c>
      <c r="L19" s="52">
        <f t="shared" si="2"/>
        <v>69202.88928</v>
      </c>
      <c r="M19" s="52">
        <f t="shared" si="3"/>
        <v>298351.52928</v>
      </c>
    </row>
    <row r="20" spans="1:13" ht="12.75">
      <c r="A20" s="33" t="s">
        <v>180</v>
      </c>
      <c r="B20" s="34">
        <v>1</v>
      </c>
      <c r="C20" s="49"/>
      <c r="D20" s="51">
        <v>7518</v>
      </c>
      <c r="E20" s="51"/>
      <c r="F20" s="51">
        <f t="shared" si="4"/>
        <v>7518</v>
      </c>
      <c r="G20" s="51"/>
      <c r="H20" s="51">
        <f t="shared" si="5"/>
        <v>1503.6000000000001</v>
      </c>
      <c r="I20" s="51"/>
      <c r="J20" s="51">
        <f t="shared" si="6"/>
        <v>9021.6</v>
      </c>
      <c r="K20" s="52">
        <f t="shared" si="1"/>
        <v>108259.20000000001</v>
      </c>
      <c r="L20" s="52">
        <f t="shared" si="2"/>
        <v>32694.278400000003</v>
      </c>
      <c r="M20" s="52">
        <f t="shared" si="3"/>
        <v>140953.47840000002</v>
      </c>
    </row>
    <row r="21" spans="1:13" ht="12.75">
      <c r="A21" s="33" t="s">
        <v>181</v>
      </c>
      <c r="B21" s="34"/>
      <c r="C21" s="35"/>
      <c r="D21" s="36"/>
      <c r="E21" s="36"/>
      <c r="F21" s="36"/>
      <c r="G21" s="36"/>
      <c r="H21" s="36"/>
      <c r="I21" s="36"/>
      <c r="J21" s="36"/>
      <c r="K21" s="37"/>
      <c r="L21" s="37"/>
      <c r="M21" s="37"/>
    </row>
    <row r="22" spans="1:13" ht="12.75">
      <c r="A22" s="44" t="s">
        <v>182</v>
      </c>
      <c r="B22" s="45">
        <v>1</v>
      </c>
      <c r="C22" s="46"/>
      <c r="D22" s="47">
        <v>7518</v>
      </c>
      <c r="E22" s="47"/>
      <c r="F22" s="47">
        <f t="shared" si="4"/>
        <v>7518</v>
      </c>
      <c r="G22" s="47">
        <f>D22*7%</f>
        <v>526.2600000000001</v>
      </c>
      <c r="H22" s="47">
        <f t="shared" si="5"/>
        <v>1503.6000000000001</v>
      </c>
      <c r="I22" s="47"/>
      <c r="J22" s="47">
        <f t="shared" si="6"/>
        <v>9547.86</v>
      </c>
      <c r="K22" s="48">
        <f t="shared" si="1"/>
        <v>114574.32</v>
      </c>
      <c r="L22" s="48">
        <f t="shared" si="2"/>
        <v>34601.44464</v>
      </c>
      <c r="M22" s="48">
        <f t="shared" si="3"/>
        <v>149175.76464</v>
      </c>
    </row>
    <row r="23" spans="1:13" ht="12.75">
      <c r="A23" s="27" t="s">
        <v>183</v>
      </c>
      <c r="B23" s="28">
        <v>1</v>
      </c>
      <c r="C23" s="49"/>
      <c r="D23" s="51">
        <v>7518</v>
      </c>
      <c r="E23" s="51"/>
      <c r="F23" s="51">
        <f t="shared" si="4"/>
        <v>7518</v>
      </c>
      <c r="G23" s="51"/>
      <c r="H23" s="51">
        <f t="shared" si="5"/>
        <v>1503.6000000000001</v>
      </c>
      <c r="I23" s="51"/>
      <c r="J23" s="51">
        <f t="shared" si="6"/>
        <v>9021.6</v>
      </c>
      <c r="K23" s="52">
        <f t="shared" si="1"/>
        <v>108259.20000000001</v>
      </c>
      <c r="L23" s="52">
        <f t="shared" si="2"/>
        <v>32694.278400000003</v>
      </c>
      <c r="M23" s="52">
        <f t="shared" si="3"/>
        <v>140953.47840000002</v>
      </c>
    </row>
    <row r="24" spans="1:13" ht="12.75">
      <c r="A24" s="27" t="s">
        <v>184</v>
      </c>
      <c r="B24" s="28">
        <v>1</v>
      </c>
      <c r="C24" s="49"/>
      <c r="D24" s="51">
        <v>9450</v>
      </c>
      <c r="E24" s="51"/>
      <c r="F24" s="51">
        <f t="shared" si="4"/>
        <v>9450</v>
      </c>
      <c r="G24" s="51"/>
      <c r="H24" s="51">
        <f t="shared" si="5"/>
        <v>1890</v>
      </c>
      <c r="I24" s="51"/>
      <c r="J24" s="51">
        <f t="shared" si="6"/>
        <v>11340</v>
      </c>
      <c r="K24" s="52">
        <f t="shared" si="1"/>
        <v>136080</v>
      </c>
      <c r="L24" s="52">
        <f t="shared" si="2"/>
        <v>41096.159999999996</v>
      </c>
      <c r="M24" s="52">
        <f t="shared" si="3"/>
        <v>177176.16</v>
      </c>
    </row>
    <row r="25" spans="1:13" ht="12.75">
      <c r="A25" s="27" t="s">
        <v>185</v>
      </c>
      <c r="B25" s="28">
        <v>1</v>
      </c>
      <c r="C25" s="49"/>
      <c r="D25" s="51">
        <v>4788</v>
      </c>
      <c r="E25" s="51"/>
      <c r="F25" s="51">
        <f t="shared" si="4"/>
        <v>4788</v>
      </c>
      <c r="G25" s="51">
        <f>D25*7%</f>
        <v>335.16</v>
      </c>
      <c r="H25" s="51">
        <f t="shared" si="5"/>
        <v>957.6</v>
      </c>
      <c r="I25" s="51"/>
      <c r="J25" s="51">
        <f t="shared" si="6"/>
        <v>6080.76</v>
      </c>
      <c r="K25" s="52">
        <f t="shared" si="1"/>
        <v>72969.12</v>
      </c>
      <c r="L25" s="52">
        <f t="shared" si="2"/>
        <v>22036.674239999997</v>
      </c>
      <c r="M25" s="52">
        <f t="shared" si="3"/>
        <v>95005.79423999999</v>
      </c>
    </row>
    <row r="26" spans="1:13" ht="12.75">
      <c r="A26" s="27" t="s">
        <v>186</v>
      </c>
      <c r="B26" s="28">
        <v>1</v>
      </c>
      <c r="C26" s="49"/>
      <c r="D26" s="51">
        <v>7518</v>
      </c>
      <c r="E26" s="51"/>
      <c r="F26" s="51">
        <f t="shared" si="4"/>
        <v>7518</v>
      </c>
      <c r="G26" s="51">
        <f>D26*7%</f>
        <v>526.2600000000001</v>
      </c>
      <c r="H26" s="51">
        <f t="shared" si="5"/>
        <v>1503.6000000000001</v>
      </c>
      <c r="I26" s="51"/>
      <c r="J26" s="51">
        <f t="shared" si="6"/>
        <v>9547.86</v>
      </c>
      <c r="K26" s="52">
        <f t="shared" si="1"/>
        <v>114574.32</v>
      </c>
      <c r="L26" s="52">
        <f t="shared" si="2"/>
        <v>34601.44464</v>
      </c>
      <c r="M26" s="52">
        <f t="shared" si="3"/>
        <v>149175.76464</v>
      </c>
    </row>
    <row r="27" spans="1:13" ht="12.75">
      <c r="A27" s="27" t="s">
        <v>187</v>
      </c>
      <c r="B27" s="28">
        <v>1</v>
      </c>
      <c r="C27" s="49"/>
      <c r="D27" s="51">
        <v>4578</v>
      </c>
      <c r="E27" s="51"/>
      <c r="F27" s="51">
        <f t="shared" si="4"/>
        <v>4578</v>
      </c>
      <c r="G27" s="51"/>
      <c r="H27" s="51">
        <f t="shared" si="5"/>
        <v>915.6</v>
      </c>
      <c r="I27" s="51"/>
      <c r="J27" s="51">
        <f t="shared" si="6"/>
        <v>5493.6</v>
      </c>
      <c r="K27" s="52">
        <f t="shared" si="1"/>
        <v>65923.20000000001</v>
      </c>
      <c r="L27" s="52">
        <f t="shared" si="2"/>
        <v>19908.8064</v>
      </c>
      <c r="M27" s="52">
        <f t="shared" si="3"/>
        <v>85832.00640000001</v>
      </c>
    </row>
    <row r="28" spans="1:13" ht="12.75">
      <c r="A28" s="27" t="s">
        <v>188</v>
      </c>
      <c r="B28" s="28">
        <v>3</v>
      </c>
      <c r="C28" s="49"/>
      <c r="D28" s="51">
        <f>7350*3</f>
        <v>22050</v>
      </c>
      <c r="E28" s="51"/>
      <c r="F28" s="51">
        <f t="shared" si="4"/>
        <v>22050</v>
      </c>
      <c r="G28" s="51">
        <f>D28*7%</f>
        <v>1543.5000000000002</v>
      </c>
      <c r="H28" s="51">
        <f t="shared" si="5"/>
        <v>4410</v>
      </c>
      <c r="I28" s="51"/>
      <c r="J28" s="51">
        <f t="shared" si="6"/>
        <v>28003.5</v>
      </c>
      <c r="K28" s="52">
        <f t="shared" si="1"/>
        <v>336042</v>
      </c>
      <c r="L28" s="52">
        <f t="shared" si="2"/>
        <v>101484.684</v>
      </c>
      <c r="M28" s="52">
        <f t="shared" si="3"/>
        <v>437526.684</v>
      </c>
    </row>
    <row r="29" spans="1:13" ht="12.75">
      <c r="A29" s="33" t="s">
        <v>189</v>
      </c>
      <c r="B29" s="34"/>
      <c r="C29" s="35"/>
      <c r="D29" s="36"/>
      <c r="E29" s="36"/>
      <c r="F29" s="36"/>
      <c r="G29" s="42"/>
      <c r="H29" s="36"/>
      <c r="I29" s="36"/>
      <c r="J29" s="36"/>
      <c r="K29" s="37"/>
      <c r="L29" s="37"/>
      <c r="M29" s="37"/>
    </row>
    <row r="30" spans="1:13" ht="12.75">
      <c r="A30" s="44" t="s">
        <v>190</v>
      </c>
      <c r="B30" s="45">
        <v>1</v>
      </c>
      <c r="C30" s="53"/>
      <c r="D30" s="47">
        <v>5712</v>
      </c>
      <c r="E30" s="47"/>
      <c r="F30" s="47">
        <f t="shared" si="4"/>
        <v>5712</v>
      </c>
      <c r="G30" s="47">
        <f>D30*7%</f>
        <v>399.84000000000003</v>
      </c>
      <c r="H30" s="47">
        <f t="shared" si="5"/>
        <v>1142.4</v>
      </c>
      <c r="I30" s="47"/>
      <c r="J30" s="47">
        <f t="shared" si="6"/>
        <v>7254.24</v>
      </c>
      <c r="K30" s="48">
        <f t="shared" si="1"/>
        <v>87050.88</v>
      </c>
      <c r="L30" s="48">
        <f t="shared" si="2"/>
        <v>26289.36576</v>
      </c>
      <c r="M30" s="48">
        <f t="shared" si="3"/>
        <v>113340.24576</v>
      </c>
    </row>
    <row r="31" spans="1:13" ht="12.75">
      <c r="A31" s="33" t="s">
        <v>191</v>
      </c>
      <c r="B31" s="34"/>
      <c r="C31" s="54"/>
      <c r="D31" s="42"/>
      <c r="E31" s="42"/>
      <c r="F31" s="42"/>
      <c r="G31" s="42"/>
      <c r="H31" s="42"/>
      <c r="I31" s="42"/>
      <c r="J31" s="42"/>
      <c r="K31" s="43"/>
      <c r="L31" s="43"/>
      <c r="M31" s="43"/>
    </row>
    <row r="32" spans="1:13" ht="12.75">
      <c r="A32" s="44" t="s">
        <v>192</v>
      </c>
      <c r="B32" s="45">
        <v>1</v>
      </c>
      <c r="C32" s="53"/>
      <c r="D32" s="47">
        <v>7518</v>
      </c>
      <c r="E32" s="47"/>
      <c r="F32" s="47">
        <f t="shared" si="4"/>
        <v>7518</v>
      </c>
      <c r="G32" s="47">
        <f>D32*7%</f>
        <v>526.2600000000001</v>
      </c>
      <c r="H32" s="47">
        <f t="shared" si="5"/>
        <v>1503.6000000000001</v>
      </c>
      <c r="I32" s="47"/>
      <c r="J32" s="47">
        <f t="shared" si="6"/>
        <v>9547.86</v>
      </c>
      <c r="K32" s="48">
        <f t="shared" si="1"/>
        <v>114574.32</v>
      </c>
      <c r="L32" s="48">
        <f t="shared" si="2"/>
        <v>34601.44464</v>
      </c>
      <c r="M32" s="48">
        <f t="shared" si="3"/>
        <v>149175.76464</v>
      </c>
    </row>
    <row r="33" spans="1:13" ht="12.75">
      <c r="A33" s="27" t="s">
        <v>193</v>
      </c>
      <c r="B33" s="28">
        <v>1</v>
      </c>
      <c r="C33" s="55"/>
      <c r="D33" s="47">
        <v>7518</v>
      </c>
      <c r="E33" s="47"/>
      <c r="F33" s="47">
        <f t="shared" si="4"/>
        <v>7518</v>
      </c>
      <c r="G33" s="42"/>
      <c r="H33" s="47">
        <f t="shared" si="5"/>
        <v>1503.6000000000001</v>
      </c>
      <c r="I33" s="47"/>
      <c r="J33" s="47">
        <f t="shared" si="6"/>
        <v>9021.6</v>
      </c>
      <c r="K33" s="48">
        <f t="shared" si="1"/>
        <v>108259.20000000001</v>
      </c>
      <c r="L33" s="48">
        <f t="shared" si="2"/>
        <v>32694.278400000003</v>
      </c>
      <c r="M33" s="48">
        <f t="shared" si="3"/>
        <v>140953.47840000002</v>
      </c>
    </row>
    <row r="34" spans="1:13" ht="12.75">
      <c r="A34" s="27" t="s">
        <v>194</v>
      </c>
      <c r="B34" s="28">
        <v>1</v>
      </c>
      <c r="C34" s="56"/>
      <c r="D34" s="51">
        <v>8694</v>
      </c>
      <c r="E34" s="51"/>
      <c r="F34" s="51">
        <f t="shared" si="4"/>
        <v>8694</v>
      </c>
      <c r="G34" s="51">
        <f>D34*7%</f>
        <v>608.58</v>
      </c>
      <c r="H34" s="51">
        <f t="shared" si="5"/>
        <v>1738.8000000000002</v>
      </c>
      <c r="I34" s="51"/>
      <c r="J34" s="51">
        <f t="shared" si="6"/>
        <v>11041.380000000001</v>
      </c>
      <c r="K34" s="52">
        <f t="shared" si="1"/>
        <v>132496.56</v>
      </c>
      <c r="L34" s="52">
        <f t="shared" si="2"/>
        <v>40013.96112</v>
      </c>
      <c r="M34" s="52">
        <f t="shared" si="3"/>
        <v>172510.52112</v>
      </c>
    </row>
    <row r="35" spans="1:13" ht="12.75">
      <c r="A35" s="27" t="s">
        <v>195</v>
      </c>
      <c r="B35" s="28">
        <v>1</v>
      </c>
      <c r="C35" s="56"/>
      <c r="D35" s="51">
        <v>8694</v>
      </c>
      <c r="E35" s="51"/>
      <c r="F35" s="51">
        <f t="shared" si="4"/>
        <v>8694</v>
      </c>
      <c r="G35" s="51"/>
      <c r="H35" s="51">
        <f t="shared" si="5"/>
        <v>1738.8000000000002</v>
      </c>
      <c r="I35" s="51"/>
      <c r="J35" s="51">
        <f t="shared" si="6"/>
        <v>10432.8</v>
      </c>
      <c r="K35" s="52">
        <f t="shared" si="1"/>
        <v>125193.59999999999</v>
      </c>
      <c r="L35" s="52">
        <f t="shared" si="2"/>
        <v>37808.4672</v>
      </c>
      <c r="M35" s="52">
        <f t="shared" si="3"/>
        <v>163002.0672</v>
      </c>
    </row>
    <row r="36" spans="1:13" ht="12.75">
      <c r="A36" s="33" t="s">
        <v>196</v>
      </c>
      <c r="B36" s="34"/>
      <c r="C36" s="57"/>
      <c r="D36" s="36"/>
      <c r="E36" s="36"/>
      <c r="F36" s="36"/>
      <c r="G36" s="42"/>
      <c r="H36" s="36"/>
      <c r="I36" s="36"/>
      <c r="J36" s="36"/>
      <c r="K36" s="37"/>
      <c r="L36" s="37"/>
      <c r="M36" s="37"/>
    </row>
    <row r="37" spans="1:13" ht="12.75">
      <c r="A37" s="44" t="s">
        <v>197</v>
      </c>
      <c r="B37" s="45">
        <v>1</v>
      </c>
      <c r="C37" s="53"/>
      <c r="D37" s="47">
        <v>9450</v>
      </c>
      <c r="E37" s="47"/>
      <c r="F37" s="47">
        <f t="shared" si="4"/>
        <v>9450</v>
      </c>
      <c r="G37" s="47">
        <f>D37*7%</f>
        <v>661.5000000000001</v>
      </c>
      <c r="H37" s="47">
        <f t="shared" si="5"/>
        <v>1890</v>
      </c>
      <c r="I37" s="47"/>
      <c r="J37" s="47">
        <f t="shared" si="6"/>
        <v>12001.5</v>
      </c>
      <c r="K37" s="48">
        <f t="shared" si="1"/>
        <v>144018</v>
      </c>
      <c r="L37" s="48">
        <f t="shared" si="2"/>
        <v>43493.436</v>
      </c>
      <c r="M37" s="48">
        <f t="shared" si="3"/>
        <v>187511.436</v>
      </c>
    </row>
    <row r="38" spans="1:13" ht="12.75">
      <c r="A38" s="33" t="s">
        <v>198</v>
      </c>
      <c r="B38" s="34"/>
      <c r="C38" s="54"/>
      <c r="D38" s="42"/>
      <c r="E38" s="42"/>
      <c r="F38" s="42"/>
      <c r="G38" s="42"/>
      <c r="H38" s="42"/>
      <c r="I38" s="42"/>
      <c r="J38" s="42"/>
      <c r="K38" s="43"/>
      <c r="L38" s="43"/>
      <c r="M38" s="43"/>
    </row>
    <row r="39" spans="1:13" ht="12.75">
      <c r="A39" s="44" t="s">
        <v>199</v>
      </c>
      <c r="B39" s="45">
        <v>1</v>
      </c>
      <c r="C39" s="53"/>
      <c r="D39" s="47">
        <v>9450</v>
      </c>
      <c r="E39" s="47"/>
      <c r="F39" s="47">
        <f t="shared" si="4"/>
        <v>9450</v>
      </c>
      <c r="G39" s="47">
        <f>D39*7%</f>
        <v>661.5000000000001</v>
      </c>
      <c r="H39" s="47">
        <f t="shared" si="5"/>
        <v>1890</v>
      </c>
      <c r="I39" s="47"/>
      <c r="J39" s="47">
        <f t="shared" si="6"/>
        <v>12001.5</v>
      </c>
      <c r="K39" s="48">
        <f t="shared" si="1"/>
        <v>144018</v>
      </c>
      <c r="L39" s="48">
        <f t="shared" si="2"/>
        <v>43493.436</v>
      </c>
      <c r="M39" s="48">
        <f t="shared" si="3"/>
        <v>187511.436</v>
      </c>
    </row>
    <row r="40" spans="1:13" ht="12.75">
      <c r="A40" s="38" t="s">
        <v>200</v>
      </c>
      <c r="B40" s="39"/>
      <c r="C40" s="54"/>
      <c r="D40" s="42"/>
      <c r="E40" s="42"/>
      <c r="F40" s="42"/>
      <c r="G40" s="42"/>
      <c r="H40" s="42"/>
      <c r="I40" s="42"/>
      <c r="J40" s="42"/>
      <c r="K40" s="43"/>
      <c r="L40" s="43"/>
      <c r="M40" s="43"/>
    </row>
    <row r="41" spans="1:13" ht="12.75">
      <c r="A41" s="38" t="s">
        <v>201</v>
      </c>
      <c r="B41" s="39">
        <v>1</v>
      </c>
      <c r="C41" s="53"/>
      <c r="D41" s="47">
        <v>9450</v>
      </c>
      <c r="E41" s="47"/>
      <c r="F41" s="47">
        <f t="shared" si="4"/>
        <v>9450</v>
      </c>
      <c r="G41" s="47">
        <f>D41*7%</f>
        <v>661.5000000000001</v>
      </c>
      <c r="H41" s="47">
        <f t="shared" si="5"/>
        <v>1890</v>
      </c>
      <c r="I41" s="47"/>
      <c r="J41" s="47">
        <f t="shared" si="6"/>
        <v>12001.5</v>
      </c>
      <c r="K41" s="48">
        <f t="shared" si="1"/>
        <v>144018</v>
      </c>
      <c r="L41" s="48">
        <f t="shared" si="2"/>
        <v>43493.436</v>
      </c>
      <c r="M41" s="48">
        <f t="shared" si="3"/>
        <v>187511.436</v>
      </c>
    </row>
    <row r="42" spans="1:13" ht="12.75">
      <c r="A42" s="27" t="s">
        <v>202</v>
      </c>
      <c r="B42" s="28">
        <v>1</v>
      </c>
      <c r="C42" s="54"/>
      <c r="D42" s="42">
        <v>7518</v>
      </c>
      <c r="E42" s="42"/>
      <c r="F42" s="42">
        <f t="shared" si="4"/>
        <v>7518</v>
      </c>
      <c r="G42" s="42">
        <f>D42*7%</f>
        <v>526.2600000000001</v>
      </c>
      <c r="H42" s="42">
        <f t="shared" si="5"/>
        <v>1503.6000000000001</v>
      </c>
      <c r="I42" s="42"/>
      <c r="J42" s="42">
        <f t="shared" si="6"/>
        <v>9547.86</v>
      </c>
      <c r="K42" s="43">
        <f t="shared" si="1"/>
        <v>114574.32</v>
      </c>
      <c r="L42" s="43">
        <f t="shared" si="2"/>
        <v>34601.44464</v>
      </c>
      <c r="M42" s="43">
        <f t="shared" si="3"/>
        <v>149175.76464</v>
      </c>
    </row>
    <row r="43" spans="1:13" ht="12.75">
      <c r="A43" s="33" t="s">
        <v>196</v>
      </c>
      <c r="B43" s="34"/>
      <c r="C43" s="58"/>
      <c r="D43" s="36"/>
      <c r="E43" s="36"/>
      <c r="F43" s="36"/>
      <c r="G43" s="36"/>
      <c r="H43" s="36"/>
      <c r="I43" s="36"/>
      <c r="J43" s="36"/>
      <c r="K43" s="37"/>
      <c r="L43" s="37"/>
      <c r="M43" s="37"/>
    </row>
    <row r="44" spans="1:13" ht="12.75">
      <c r="A44" s="44" t="s">
        <v>203</v>
      </c>
      <c r="B44" s="45">
        <v>1</v>
      </c>
      <c r="C44" s="55"/>
      <c r="D44" s="47">
        <v>9450</v>
      </c>
      <c r="E44" s="47"/>
      <c r="F44" s="47">
        <f t="shared" si="4"/>
        <v>9450</v>
      </c>
      <c r="G44" s="42">
        <f>D44*7%</f>
        <v>661.5000000000001</v>
      </c>
      <c r="H44" s="47">
        <f t="shared" si="5"/>
        <v>1890</v>
      </c>
      <c r="I44" s="47"/>
      <c r="J44" s="47">
        <f t="shared" si="6"/>
        <v>12001.5</v>
      </c>
      <c r="K44" s="48">
        <f t="shared" si="1"/>
        <v>144018</v>
      </c>
      <c r="L44" s="48">
        <f t="shared" si="2"/>
        <v>43493.436</v>
      </c>
      <c r="M44" s="48">
        <f t="shared" si="3"/>
        <v>187511.436</v>
      </c>
    </row>
    <row r="45" spans="1:13" ht="12.75">
      <c r="A45" s="59" t="s">
        <v>204</v>
      </c>
      <c r="B45" s="28">
        <v>2</v>
      </c>
      <c r="C45" s="60"/>
      <c r="D45" s="61">
        <f>9450*2</f>
        <v>18900</v>
      </c>
      <c r="E45" s="51"/>
      <c r="F45" s="51">
        <f t="shared" si="4"/>
        <v>18900</v>
      </c>
      <c r="G45" s="51">
        <f>D45*7%</f>
        <v>1323.0000000000002</v>
      </c>
      <c r="H45" s="51">
        <f t="shared" si="5"/>
        <v>3780</v>
      </c>
      <c r="I45" s="51"/>
      <c r="J45" s="51">
        <f t="shared" si="6"/>
        <v>24003</v>
      </c>
      <c r="K45" s="52">
        <f t="shared" si="1"/>
        <v>288036</v>
      </c>
      <c r="L45" s="52">
        <f t="shared" si="2"/>
        <v>86986.872</v>
      </c>
      <c r="M45" s="52">
        <f t="shared" si="3"/>
        <v>375022.872</v>
      </c>
    </row>
    <row r="46" spans="1:13" ht="12.75">
      <c r="A46" s="62" t="s">
        <v>205</v>
      </c>
      <c r="B46" s="34"/>
      <c r="C46" s="63"/>
      <c r="D46" s="64"/>
      <c r="E46" s="36"/>
      <c r="F46" s="36"/>
      <c r="G46" s="36"/>
      <c r="H46" s="36"/>
      <c r="I46" s="36"/>
      <c r="J46" s="36"/>
      <c r="K46" s="37"/>
      <c r="L46" s="37"/>
      <c r="M46" s="37"/>
    </row>
    <row r="47" spans="1:13" ht="12.75">
      <c r="A47" s="65" t="s">
        <v>206</v>
      </c>
      <c r="B47" s="45">
        <v>2</v>
      </c>
      <c r="C47" s="66"/>
      <c r="D47" s="67">
        <f>9450*B47</f>
        <v>18900</v>
      </c>
      <c r="E47" s="47"/>
      <c r="F47" s="47">
        <f t="shared" si="4"/>
        <v>18900</v>
      </c>
      <c r="G47" s="47">
        <f>D47*7%</f>
        <v>1323.0000000000002</v>
      </c>
      <c r="H47" s="47">
        <f t="shared" si="5"/>
        <v>3780</v>
      </c>
      <c r="I47" s="47"/>
      <c r="J47" s="47">
        <f t="shared" si="6"/>
        <v>24003</v>
      </c>
      <c r="K47" s="48">
        <f t="shared" si="1"/>
        <v>288036</v>
      </c>
      <c r="L47" s="48">
        <f t="shared" si="2"/>
        <v>86986.872</v>
      </c>
      <c r="M47" s="48">
        <f t="shared" si="3"/>
        <v>375022.872</v>
      </c>
    </row>
    <row r="48" spans="1:13" ht="12.75">
      <c r="A48" s="59" t="s">
        <v>194</v>
      </c>
      <c r="B48" s="28">
        <v>5</v>
      </c>
      <c r="C48" s="66"/>
      <c r="D48" s="67">
        <f>11385*B48</f>
        <v>56925</v>
      </c>
      <c r="E48" s="47"/>
      <c r="F48" s="47">
        <f t="shared" si="4"/>
        <v>56925</v>
      </c>
      <c r="G48" s="51">
        <f>D48*7%</f>
        <v>3984.7500000000005</v>
      </c>
      <c r="H48" s="47">
        <f t="shared" si="5"/>
        <v>11385</v>
      </c>
      <c r="I48" s="47"/>
      <c r="J48" s="47">
        <f t="shared" si="6"/>
        <v>72294.75</v>
      </c>
      <c r="K48" s="48">
        <f t="shared" si="1"/>
        <v>867537</v>
      </c>
      <c r="L48" s="48">
        <f t="shared" si="2"/>
        <v>261996.174</v>
      </c>
      <c r="M48" s="48">
        <f t="shared" si="3"/>
        <v>1129533.174</v>
      </c>
    </row>
    <row r="49" spans="1:13" ht="12.75">
      <c r="A49" s="62" t="s">
        <v>207</v>
      </c>
      <c r="B49" s="28">
        <v>7</v>
      </c>
      <c r="C49" s="68"/>
      <c r="D49" s="69">
        <f>14700*B49</f>
        <v>102900</v>
      </c>
      <c r="E49" s="51"/>
      <c r="F49" s="51">
        <f t="shared" si="4"/>
        <v>102900</v>
      </c>
      <c r="G49" s="51"/>
      <c r="H49" s="51"/>
      <c r="I49" s="51"/>
      <c r="J49" s="51">
        <f t="shared" si="6"/>
        <v>102900</v>
      </c>
      <c r="K49" s="52">
        <f t="shared" si="1"/>
        <v>1234800</v>
      </c>
      <c r="L49" s="52">
        <f t="shared" si="2"/>
        <v>372909.6</v>
      </c>
      <c r="M49" s="52">
        <f t="shared" si="3"/>
        <v>1607709.6</v>
      </c>
    </row>
    <row r="50" spans="1:13" ht="12.75">
      <c r="A50" s="70" t="s">
        <v>208</v>
      </c>
      <c r="B50" s="28">
        <v>1</v>
      </c>
      <c r="C50" s="68"/>
      <c r="D50" s="69">
        <v>9450</v>
      </c>
      <c r="E50" s="51"/>
      <c r="F50" s="51">
        <f t="shared" si="4"/>
        <v>9450</v>
      </c>
      <c r="G50" s="51">
        <f>D50*7%</f>
        <v>661.5000000000001</v>
      </c>
      <c r="H50" s="51">
        <f t="shared" si="5"/>
        <v>1890</v>
      </c>
      <c r="I50" s="51"/>
      <c r="J50" s="51">
        <f t="shared" si="6"/>
        <v>12001.5</v>
      </c>
      <c r="K50" s="52">
        <f t="shared" si="1"/>
        <v>144018</v>
      </c>
      <c r="L50" s="52">
        <f t="shared" si="2"/>
        <v>43493.436</v>
      </c>
      <c r="M50" s="52">
        <f t="shared" si="3"/>
        <v>187511.436</v>
      </c>
    </row>
    <row r="51" spans="1:13" ht="12.75">
      <c r="A51" s="68" t="s">
        <v>194</v>
      </c>
      <c r="B51" s="28">
        <v>3</v>
      </c>
      <c r="C51" s="68"/>
      <c r="D51" s="69">
        <f>8694*B51</f>
        <v>26082</v>
      </c>
      <c r="E51" s="51"/>
      <c r="F51" s="51">
        <f t="shared" si="4"/>
        <v>26082</v>
      </c>
      <c r="G51" s="51">
        <f>D51*7%</f>
        <v>1825.7400000000002</v>
      </c>
      <c r="H51" s="51">
        <f t="shared" si="5"/>
        <v>5216.400000000001</v>
      </c>
      <c r="I51" s="51"/>
      <c r="J51" s="51">
        <f t="shared" si="6"/>
        <v>33124.14</v>
      </c>
      <c r="K51" s="52">
        <f t="shared" si="1"/>
        <v>397489.68</v>
      </c>
      <c r="L51" s="52">
        <f t="shared" si="2"/>
        <v>120041.88335999999</v>
      </c>
      <c r="M51" s="52">
        <f t="shared" si="3"/>
        <v>517531.56336</v>
      </c>
    </row>
    <row r="52" spans="1:13" ht="12.75">
      <c r="A52" s="71" t="s">
        <v>209</v>
      </c>
      <c r="B52" s="34"/>
      <c r="C52" s="71"/>
      <c r="D52" s="72"/>
      <c r="E52" s="36"/>
      <c r="F52" s="36"/>
      <c r="G52" s="36"/>
      <c r="H52" s="36"/>
      <c r="I52" s="36"/>
      <c r="J52" s="36"/>
      <c r="K52" s="37"/>
      <c r="L52" s="37"/>
      <c r="M52" s="37"/>
    </row>
    <row r="53" spans="1:13" ht="12.75">
      <c r="A53" s="66" t="s">
        <v>210</v>
      </c>
      <c r="B53" s="45">
        <v>1</v>
      </c>
      <c r="C53" s="66"/>
      <c r="D53" s="73">
        <v>6930</v>
      </c>
      <c r="E53" s="47"/>
      <c r="F53" s="47">
        <f t="shared" si="4"/>
        <v>6930</v>
      </c>
      <c r="G53" s="47"/>
      <c r="H53" s="47">
        <f t="shared" si="5"/>
        <v>1386</v>
      </c>
      <c r="I53" s="47"/>
      <c r="J53" s="47">
        <f t="shared" si="6"/>
        <v>8316</v>
      </c>
      <c r="K53" s="48">
        <f t="shared" si="1"/>
        <v>99792</v>
      </c>
      <c r="L53" s="48">
        <f t="shared" si="2"/>
        <v>30137.183999999997</v>
      </c>
      <c r="M53" s="48">
        <f t="shared" si="3"/>
        <v>129929.184</v>
      </c>
    </row>
    <row r="54" spans="1:13" ht="12.75">
      <c r="A54" s="62" t="s">
        <v>211</v>
      </c>
      <c r="B54" s="34"/>
      <c r="C54" s="74"/>
      <c r="D54" s="75"/>
      <c r="E54" s="42"/>
      <c r="F54" s="42"/>
      <c r="G54" s="42"/>
      <c r="H54" s="42"/>
      <c r="I54" s="42"/>
      <c r="J54" s="42"/>
      <c r="K54" s="43"/>
      <c r="L54" s="43"/>
      <c r="M54" s="43"/>
    </row>
    <row r="55" spans="1:13" ht="12.75">
      <c r="A55" s="76" t="s">
        <v>212</v>
      </c>
      <c r="B55" s="45">
        <v>1</v>
      </c>
      <c r="C55" s="66"/>
      <c r="D55" s="73">
        <v>9450</v>
      </c>
      <c r="E55" s="47"/>
      <c r="F55" s="47">
        <f t="shared" si="4"/>
        <v>9450</v>
      </c>
      <c r="G55" s="47">
        <f>D55*7%</f>
        <v>661.5000000000001</v>
      </c>
      <c r="H55" s="47">
        <f t="shared" si="5"/>
        <v>1890</v>
      </c>
      <c r="I55" s="47"/>
      <c r="J55" s="47">
        <f t="shared" si="6"/>
        <v>12001.5</v>
      </c>
      <c r="K55" s="48">
        <f t="shared" si="1"/>
        <v>144018</v>
      </c>
      <c r="L55" s="48">
        <f t="shared" si="2"/>
        <v>43493.436</v>
      </c>
      <c r="M55" s="48">
        <f t="shared" si="3"/>
        <v>187511.436</v>
      </c>
    </row>
    <row r="56" spans="1:13" ht="12.75">
      <c r="A56" s="62" t="s">
        <v>213</v>
      </c>
      <c r="B56" s="34"/>
      <c r="C56" s="74"/>
      <c r="D56" s="75"/>
      <c r="E56" s="42"/>
      <c r="F56" s="42"/>
      <c r="G56" s="42"/>
      <c r="H56" s="42"/>
      <c r="I56" s="42"/>
      <c r="J56" s="42"/>
      <c r="K56" s="43"/>
      <c r="L56" s="43"/>
      <c r="M56" s="43"/>
    </row>
    <row r="57" spans="1:13" ht="12.75">
      <c r="A57" s="76" t="s">
        <v>214</v>
      </c>
      <c r="B57" s="45">
        <v>1</v>
      </c>
      <c r="C57" s="66"/>
      <c r="D57" s="73">
        <v>9450</v>
      </c>
      <c r="E57" s="47"/>
      <c r="F57" s="47">
        <f t="shared" si="4"/>
        <v>9450</v>
      </c>
      <c r="G57" s="47">
        <f>(23945*2-D57)/2</f>
        <v>19220</v>
      </c>
      <c r="H57" s="47">
        <f>G57</f>
        <v>19220</v>
      </c>
      <c r="I57" s="47"/>
      <c r="J57" s="47">
        <f t="shared" si="6"/>
        <v>47890</v>
      </c>
      <c r="K57" s="48">
        <f t="shared" si="1"/>
        <v>574680</v>
      </c>
      <c r="L57" s="48">
        <f t="shared" si="2"/>
        <v>173553.36</v>
      </c>
      <c r="M57" s="48">
        <f t="shared" si="3"/>
        <v>748233.36</v>
      </c>
    </row>
    <row r="58" spans="1:13" ht="12.75">
      <c r="A58" s="59" t="s">
        <v>215</v>
      </c>
      <c r="B58" s="28">
        <v>2</v>
      </c>
      <c r="C58" s="66"/>
      <c r="D58" s="73">
        <f>9450*B58</f>
        <v>18900</v>
      </c>
      <c r="E58" s="47"/>
      <c r="F58" s="47">
        <f t="shared" si="4"/>
        <v>18900</v>
      </c>
      <c r="G58" s="42"/>
      <c r="H58" s="47">
        <f t="shared" si="5"/>
        <v>3780</v>
      </c>
      <c r="I58" s="47"/>
      <c r="J58" s="47">
        <f t="shared" si="6"/>
        <v>22680</v>
      </c>
      <c r="K58" s="48">
        <f t="shared" si="1"/>
        <v>272160</v>
      </c>
      <c r="L58" s="48">
        <f t="shared" si="2"/>
        <v>82192.31999999999</v>
      </c>
      <c r="M58" s="48">
        <f t="shared" si="3"/>
        <v>354352.32</v>
      </c>
    </row>
    <row r="59" spans="1:13" ht="12.75">
      <c r="A59" s="59" t="s">
        <v>216</v>
      </c>
      <c r="B59" s="28">
        <v>1</v>
      </c>
      <c r="C59" s="68"/>
      <c r="D59" s="69">
        <v>9450</v>
      </c>
      <c r="E59" s="51"/>
      <c r="F59" s="51">
        <f t="shared" si="4"/>
        <v>9450</v>
      </c>
      <c r="G59" s="51"/>
      <c r="H59" s="51">
        <f t="shared" si="5"/>
        <v>1890</v>
      </c>
      <c r="I59" s="51"/>
      <c r="J59" s="51">
        <f t="shared" si="6"/>
        <v>11340</v>
      </c>
      <c r="K59" s="52">
        <f t="shared" si="1"/>
        <v>136080</v>
      </c>
      <c r="L59" s="52">
        <f t="shared" si="2"/>
        <v>41096.159999999996</v>
      </c>
      <c r="M59" s="52">
        <f t="shared" si="3"/>
        <v>177176.16</v>
      </c>
    </row>
    <row r="60" spans="1:13" ht="12.75">
      <c r="A60" s="62" t="s">
        <v>217</v>
      </c>
      <c r="B60" s="34"/>
      <c r="C60" s="71"/>
      <c r="D60" s="72"/>
      <c r="E60" s="36"/>
      <c r="F60" s="36"/>
      <c r="G60" s="36"/>
      <c r="H60" s="36"/>
      <c r="I60" s="36"/>
      <c r="J60" s="36"/>
      <c r="K60" s="37"/>
      <c r="L60" s="37"/>
      <c r="M60" s="37"/>
    </row>
    <row r="61" spans="1:13" ht="12.75">
      <c r="A61" s="65" t="s">
        <v>218</v>
      </c>
      <c r="B61" s="45">
        <v>1</v>
      </c>
      <c r="C61" s="66"/>
      <c r="D61" s="73">
        <v>7518</v>
      </c>
      <c r="E61" s="47"/>
      <c r="F61" s="47">
        <f t="shared" si="4"/>
        <v>7518</v>
      </c>
      <c r="G61" s="47">
        <f>(23945-F61)/2</f>
        <v>8213.5</v>
      </c>
      <c r="H61" s="47">
        <f>G61</f>
        <v>8213.5</v>
      </c>
      <c r="I61" s="47"/>
      <c r="J61" s="47">
        <f t="shared" si="6"/>
        <v>23945</v>
      </c>
      <c r="K61" s="48">
        <f aca="true" t="shared" si="7" ref="K61:K124">J61*12</f>
        <v>287340</v>
      </c>
      <c r="L61" s="48">
        <f aca="true" t="shared" si="8" ref="L61:L124">K61*0.302</f>
        <v>86776.68</v>
      </c>
      <c r="M61" s="48">
        <f aca="true" t="shared" si="9" ref="M61:M124">K61+L61</f>
        <v>374116.68</v>
      </c>
    </row>
    <row r="62" spans="1:13" ht="12.75">
      <c r="A62" s="62" t="s">
        <v>219</v>
      </c>
      <c r="B62" s="34"/>
      <c r="C62" s="74"/>
      <c r="D62" s="75"/>
      <c r="E62" s="42"/>
      <c r="F62" s="42"/>
      <c r="G62" s="42"/>
      <c r="H62" s="42"/>
      <c r="I62" s="42"/>
      <c r="J62" s="42"/>
      <c r="K62" s="43"/>
      <c r="L62" s="43"/>
      <c r="M62" s="43"/>
    </row>
    <row r="63" spans="1:13" ht="12.75">
      <c r="A63" s="65" t="s">
        <v>220</v>
      </c>
      <c r="B63" s="45">
        <v>1</v>
      </c>
      <c r="C63" s="66"/>
      <c r="D63" s="73">
        <v>7518</v>
      </c>
      <c r="E63" s="47"/>
      <c r="F63" s="47">
        <f t="shared" si="4"/>
        <v>7518</v>
      </c>
      <c r="G63" s="47">
        <f>(23945-F63)/2</f>
        <v>8213.5</v>
      </c>
      <c r="H63" s="47">
        <f>G63</f>
        <v>8213.5</v>
      </c>
      <c r="I63" s="47"/>
      <c r="J63" s="47">
        <f t="shared" si="6"/>
        <v>23945</v>
      </c>
      <c r="K63" s="48">
        <f t="shared" si="7"/>
        <v>287340</v>
      </c>
      <c r="L63" s="48">
        <f t="shared" si="8"/>
        <v>86776.68</v>
      </c>
      <c r="M63" s="48">
        <f t="shared" si="9"/>
        <v>374116.68</v>
      </c>
    </row>
    <row r="64" spans="1:13" ht="12.75">
      <c r="A64" s="62" t="s">
        <v>221</v>
      </c>
      <c r="B64" s="34"/>
      <c r="C64" s="74"/>
      <c r="D64" s="75"/>
      <c r="E64" s="42"/>
      <c r="F64" s="42"/>
      <c r="G64" s="42"/>
      <c r="H64" s="42"/>
      <c r="I64" s="42"/>
      <c r="J64" s="42"/>
      <c r="K64" s="43"/>
      <c r="L64" s="43"/>
      <c r="M64" s="43"/>
    </row>
    <row r="65" spans="1:13" ht="12.75">
      <c r="A65" s="76" t="s">
        <v>222</v>
      </c>
      <c r="B65" s="45">
        <v>1</v>
      </c>
      <c r="C65" s="66"/>
      <c r="D65" s="73">
        <v>7518</v>
      </c>
      <c r="E65" s="47"/>
      <c r="F65" s="47">
        <f t="shared" si="4"/>
        <v>7518</v>
      </c>
      <c r="G65" s="47">
        <f>(23945-F65)/2</f>
        <v>8213.5</v>
      </c>
      <c r="H65" s="47">
        <f>G65</f>
        <v>8213.5</v>
      </c>
      <c r="I65" s="47"/>
      <c r="J65" s="47">
        <f t="shared" si="6"/>
        <v>23945</v>
      </c>
      <c r="K65" s="48">
        <f t="shared" si="7"/>
        <v>287340</v>
      </c>
      <c r="L65" s="48">
        <f t="shared" si="8"/>
        <v>86776.68</v>
      </c>
      <c r="M65" s="48">
        <f t="shared" si="9"/>
        <v>374116.68</v>
      </c>
    </row>
    <row r="66" spans="1:13" ht="12.75">
      <c r="A66" s="59" t="s">
        <v>221</v>
      </c>
      <c r="B66" s="28">
        <v>3</v>
      </c>
      <c r="C66" s="66"/>
      <c r="D66" s="73">
        <f>7518*3</f>
        <v>22554</v>
      </c>
      <c r="E66" s="47"/>
      <c r="F66" s="47">
        <f t="shared" si="4"/>
        <v>22554</v>
      </c>
      <c r="G66" s="42">
        <f>(23945-7518)/2*B66</f>
        <v>24640.5</v>
      </c>
      <c r="H66" s="47">
        <f>G66</f>
        <v>24640.5</v>
      </c>
      <c r="I66" s="47"/>
      <c r="J66" s="47">
        <f t="shared" si="6"/>
        <v>71835</v>
      </c>
      <c r="K66" s="48">
        <f t="shared" si="7"/>
        <v>862020</v>
      </c>
      <c r="L66" s="48">
        <f t="shared" si="8"/>
        <v>260330.03999999998</v>
      </c>
      <c r="M66" s="48">
        <f t="shared" si="9"/>
        <v>1122350.04</v>
      </c>
    </row>
    <row r="67" spans="1:13" ht="12.75">
      <c r="A67" s="77" t="s">
        <v>223</v>
      </c>
      <c r="B67" s="34"/>
      <c r="C67" s="71"/>
      <c r="D67" s="72"/>
      <c r="E67" s="36"/>
      <c r="F67" s="36"/>
      <c r="G67" s="36"/>
      <c r="H67" s="36"/>
      <c r="I67" s="36"/>
      <c r="J67" s="36"/>
      <c r="K67" s="37"/>
      <c r="L67" s="37"/>
      <c r="M67" s="37"/>
    </row>
    <row r="68" spans="1:13" ht="12.75">
      <c r="A68" s="78" t="s">
        <v>224</v>
      </c>
      <c r="B68" s="45">
        <v>1</v>
      </c>
      <c r="C68" s="66"/>
      <c r="D68" s="73">
        <v>9450</v>
      </c>
      <c r="E68" s="47"/>
      <c r="F68" s="47">
        <f t="shared" si="4"/>
        <v>9450</v>
      </c>
      <c r="G68" s="47">
        <f aca="true" t="shared" si="10" ref="G68:G74">D68*7%</f>
        <v>661.5000000000001</v>
      </c>
      <c r="H68" s="47">
        <f t="shared" si="5"/>
        <v>1890</v>
      </c>
      <c r="I68" s="79"/>
      <c r="J68" s="47">
        <f t="shared" si="6"/>
        <v>12001.5</v>
      </c>
      <c r="K68" s="48">
        <f t="shared" si="7"/>
        <v>144018</v>
      </c>
      <c r="L68" s="48">
        <f t="shared" si="8"/>
        <v>43493.436</v>
      </c>
      <c r="M68" s="48">
        <f t="shared" si="9"/>
        <v>187511.436</v>
      </c>
    </row>
    <row r="69" spans="1:13" ht="12.75">
      <c r="A69" s="77" t="s">
        <v>225</v>
      </c>
      <c r="B69" s="28">
        <v>1</v>
      </c>
      <c r="C69" s="66"/>
      <c r="D69" s="73">
        <v>8820</v>
      </c>
      <c r="E69" s="47"/>
      <c r="F69" s="47">
        <f t="shared" si="4"/>
        <v>8820</v>
      </c>
      <c r="G69" s="42">
        <f t="shared" si="10"/>
        <v>617.4000000000001</v>
      </c>
      <c r="H69" s="47">
        <f t="shared" si="5"/>
        <v>1764</v>
      </c>
      <c r="I69" s="79"/>
      <c r="J69" s="47">
        <f t="shared" si="6"/>
        <v>11201.4</v>
      </c>
      <c r="K69" s="48">
        <f t="shared" si="7"/>
        <v>134416.8</v>
      </c>
      <c r="L69" s="48">
        <f t="shared" si="8"/>
        <v>40593.87359999999</v>
      </c>
      <c r="M69" s="48">
        <f t="shared" si="9"/>
        <v>175010.67359999998</v>
      </c>
    </row>
    <row r="70" spans="1:13" ht="12.75">
      <c r="A70" s="77" t="s">
        <v>194</v>
      </c>
      <c r="B70" s="28">
        <v>3</v>
      </c>
      <c r="C70" s="68"/>
      <c r="D70" s="69">
        <f>8694*B70</f>
        <v>26082</v>
      </c>
      <c r="E70" s="51"/>
      <c r="F70" s="51">
        <f aca="true" t="shared" si="11" ref="F70:F123">D70</f>
        <v>26082</v>
      </c>
      <c r="G70" s="51">
        <f t="shared" si="10"/>
        <v>1825.7400000000002</v>
      </c>
      <c r="H70" s="51">
        <f aca="true" t="shared" si="12" ref="H70:H130">D70*20%</f>
        <v>5216.400000000001</v>
      </c>
      <c r="I70" s="80"/>
      <c r="J70" s="51">
        <f aca="true" t="shared" si="13" ref="J70:J125">D70+G70+H70+I70</f>
        <v>33124.14</v>
      </c>
      <c r="K70" s="52">
        <f t="shared" si="7"/>
        <v>397489.68</v>
      </c>
      <c r="L70" s="52">
        <f t="shared" si="8"/>
        <v>120041.88335999999</v>
      </c>
      <c r="M70" s="52">
        <f t="shared" si="9"/>
        <v>517531.56336</v>
      </c>
    </row>
    <row r="71" spans="1:13" ht="12.75">
      <c r="A71" s="77" t="s">
        <v>226</v>
      </c>
      <c r="B71" s="28">
        <v>1</v>
      </c>
      <c r="C71" s="68"/>
      <c r="D71" s="69">
        <v>6930</v>
      </c>
      <c r="E71" s="51"/>
      <c r="F71" s="51">
        <f t="shared" si="11"/>
        <v>6930</v>
      </c>
      <c r="G71" s="51">
        <f t="shared" si="10"/>
        <v>485.1</v>
      </c>
      <c r="H71" s="51">
        <f t="shared" si="12"/>
        <v>1386</v>
      </c>
      <c r="I71" s="80"/>
      <c r="J71" s="51">
        <f t="shared" si="13"/>
        <v>8801.1</v>
      </c>
      <c r="K71" s="52">
        <f t="shared" si="7"/>
        <v>105613.20000000001</v>
      </c>
      <c r="L71" s="52">
        <f t="shared" si="8"/>
        <v>31895.186400000002</v>
      </c>
      <c r="M71" s="52">
        <f t="shared" si="9"/>
        <v>137508.38640000002</v>
      </c>
    </row>
    <row r="72" spans="1:13" ht="12.75">
      <c r="A72" s="59" t="s">
        <v>227</v>
      </c>
      <c r="B72" s="28">
        <v>1</v>
      </c>
      <c r="C72" s="68"/>
      <c r="D72" s="69">
        <v>9450</v>
      </c>
      <c r="E72" s="51"/>
      <c r="F72" s="51">
        <f t="shared" si="11"/>
        <v>9450</v>
      </c>
      <c r="G72" s="51">
        <f t="shared" si="10"/>
        <v>661.5000000000001</v>
      </c>
      <c r="H72" s="51">
        <f t="shared" si="12"/>
        <v>1890</v>
      </c>
      <c r="I72" s="80"/>
      <c r="J72" s="51">
        <f t="shared" si="13"/>
        <v>12001.5</v>
      </c>
      <c r="K72" s="52">
        <f t="shared" si="7"/>
        <v>144018</v>
      </c>
      <c r="L72" s="52">
        <f t="shared" si="8"/>
        <v>43493.436</v>
      </c>
      <c r="M72" s="52">
        <f t="shared" si="9"/>
        <v>187511.436</v>
      </c>
    </row>
    <row r="73" spans="1:13" ht="12.75">
      <c r="A73" s="62" t="s">
        <v>228</v>
      </c>
      <c r="B73" s="28">
        <v>4</v>
      </c>
      <c r="C73" s="68"/>
      <c r="D73" s="69">
        <f>4788*B73</f>
        <v>19152</v>
      </c>
      <c r="E73" s="51"/>
      <c r="F73" s="51">
        <f t="shared" si="11"/>
        <v>19152</v>
      </c>
      <c r="G73" s="51">
        <f t="shared" si="10"/>
        <v>1340.64</v>
      </c>
      <c r="H73" s="51">
        <f t="shared" si="12"/>
        <v>3830.4</v>
      </c>
      <c r="I73" s="80"/>
      <c r="J73" s="51">
        <f t="shared" si="13"/>
        <v>24323.04</v>
      </c>
      <c r="K73" s="52">
        <f t="shared" si="7"/>
        <v>291876.48</v>
      </c>
      <c r="L73" s="52">
        <f t="shared" si="8"/>
        <v>88146.69695999999</v>
      </c>
      <c r="M73" s="52">
        <f t="shared" si="9"/>
        <v>380023.17695999995</v>
      </c>
    </row>
    <row r="74" spans="1:13" ht="12.75">
      <c r="A74" s="59" t="s">
        <v>229</v>
      </c>
      <c r="B74" s="28">
        <v>1</v>
      </c>
      <c r="C74" s="68"/>
      <c r="D74" s="69">
        <v>4494</v>
      </c>
      <c r="E74" s="51"/>
      <c r="F74" s="51">
        <f t="shared" si="11"/>
        <v>4494</v>
      </c>
      <c r="G74" s="51">
        <f t="shared" si="10"/>
        <v>314.58000000000004</v>
      </c>
      <c r="H74" s="51">
        <f t="shared" si="12"/>
        <v>898.8000000000001</v>
      </c>
      <c r="I74" s="80"/>
      <c r="J74" s="51">
        <f t="shared" si="13"/>
        <v>5707.38</v>
      </c>
      <c r="K74" s="52">
        <f t="shared" si="7"/>
        <v>68488.56</v>
      </c>
      <c r="L74" s="52">
        <f t="shared" si="8"/>
        <v>20683.54512</v>
      </c>
      <c r="M74" s="52">
        <f t="shared" si="9"/>
        <v>89172.10512</v>
      </c>
    </row>
    <row r="75" spans="1:13" ht="12.75">
      <c r="A75" s="62" t="s">
        <v>230</v>
      </c>
      <c r="B75" s="34"/>
      <c r="C75" s="71"/>
      <c r="D75" s="72"/>
      <c r="E75" s="36"/>
      <c r="F75" s="36"/>
      <c r="G75" s="36"/>
      <c r="H75" s="36"/>
      <c r="I75" s="81"/>
      <c r="J75" s="36"/>
      <c r="K75" s="37"/>
      <c r="L75" s="37"/>
      <c r="M75" s="37"/>
    </row>
    <row r="76" spans="1:13" ht="12.75">
      <c r="A76" s="76" t="s">
        <v>231</v>
      </c>
      <c r="B76" s="45">
        <v>4</v>
      </c>
      <c r="C76" s="66"/>
      <c r="D76" s="73">
        <f>9450*B76</f>
        <v>37800</v>
      </c>
      <c r="E76" s="47"/>
      <c r="F76" s="47">
        <f t="shared" si="11"/>
        <v>37800</v>
      </c>
      <c r="G76" s="47"/>
      <c r="H76" s="47">
        <f t="shared" si="12"/>
        <v>7560</v>
      </c>
      <c r="I76" s="79"/>
      <c r="J76" s="47">
        <f t="shared" si="13"/>
        <v>45360</v>
      </c>
      <c r="K76" s="48">
        <f t="shared" si="7"/>
        <v>544320</v>
      </c>
      <c r="L76" s="48">
        <f t="shared" si="8"/>
        <v>164384.63999999998</v>
      </c>
      <c r="M76" s="48">
        <f t="shared" si="9"/>
        <v>708704.64</v>
      </c>
    </row>
    <row r="77" spans="1:13" ht="12.75">
      <c r="A77" s="62" t="s">
        <v>232</v>
      </c>
      <c r="B77" s="34"/>
      <c r="C77" s="71"/>
      <c r="D77" s="72"/>
      <c r="E77" s="36"/>
      <c r="F77" s="36"/>
      <c r="G77" s="42"/>
      <c r="H77" s="36"/>
      <c r="I77" s="81"/>
      <c r="J77" s="36"/>
      <c r="K77" s="37"/>
      <c r="L77" s="37"/>
      <c r="M77" s="37"/>
    </row>
    <row r="78" spans="1:13" ht="12.75">
      <c r="A78" s="76" t="s">
        <v>210</v>
      </c>
      <c r="B78" s="45">
        <v>2</v>
      </c>
      <c r="C78" s="66"/>
      <c r="D78" s="73">
        <f>8694*B78</f>
        <v>17388</v>
      </c>
      <c r="E78" s="47"/>
      <c r="F78" s="47">
        <f t="shared" si="11"/>
        <v>17388</v>
      </c>
      <c r="G78" s="47">
        <f>D78*7%</f>
        <v>1217.16</v>
      </c>
      <c r="H78" s="47">
        <f t="shared" si="12"/>
        <v>3477.6000000000004</v>
      </c>
      <c r="I78" s="79"/>
      <c r="J78" s="47">
        <f t="shared" si="13"/>
        <v>22082.760000000002</v>
      </c>
      <c r="K78" s="48">
        <f t="shared" si="7"/>
        <v>264993.12</v>
      </c>
      <c r="L78" s="48">
        <f t="shared" si="8"/>
        <v>80027.92224</v>
      </c>
      <c r="M78" s="48">
        <f t="shared" si="9"/>
        <v>345021.04224</v>
      </c>
    </row>
    <row r="79" spans="1:13" ht="12.75">
      <c r="A79" s="59" t="s">
        <v>233</v>
      </c>
      <c r="B79" s="28">
        <v>1</v>
      </c>
      <c r="C79" s="66"/>
      <c r="D79" s="73">
        <v>7350</v>
      </c>
      <c r="E79" s="47"/>
      <c r="F79" s="47">
        <f t="shared" si="11"/>
        <v>7350</v>
      </c>
      <c r="G79" s="42">
        <f>D79*7%</f>
        <v>514.5</v>
      </c>
      <c r="H79" s="47">
        <f t="shared" si="12"/>
        <v>1470</v>
      </c>
      <c r="I79" s="79"/>
      <c r="J79" s="47">
        <f t="shared" si="13"/>
        <v>9334.5</v>
      </c>
      <c r="K79" s="48">
        <f t="shared" si="7"/>
        <v>112014</v>
      </c>
      <c r="L79" s="48">
        <f t="shared" si="8"/>
        <v>33828.227999999996</v>
      </c>
      <c r="M79" s="48">
        <f t="shared" si="9"/>
        <v>145842.228</v>
      </c>
    </row>
    <row r="80" spans="1:13" ht="12.75">
      <c r="A80" s="62" t="s">
        <v>234</v>
      </c>
      <c r="B80" s="28">
        <v>2</v>
      </c>
      <c r="C80" s="68"/>
      <c r="D80" s="69">
        <f>5670*2</f>
        <v>11340</v>
      </c>
      <c r="E80" s="51"/>
      <c r="F80" s="51">
        <f t="shared" si="11"/>
        <v>11340</v>
      </c>
      <c r="G80" s="51">
        <f>D80*7%</f>
        <v>793.8000000000001</v>
      </c>
      <c r="H80" s="51">
        <f t="shared" si="12"/>
        <v>2268</v>
      </c>
      <c r="I80" s="80"/>
      <c r="J80" s="51">
        <f t="shared" si="13"/>
        <v>14401.8</v>
      </c>
      <c r="K80" s="52">
        <f t="shared" si="7"/>
        <v>172821.59999999998</v>
      </c>
      <c r="L80" s="52">
        <f t="shared" si="8"/>
        <v>52192.123199999995</v>
      </c>
      <c r="M80" s="52">
        <f t="shared" si="9"/>
        <v>225013.72319999998</v>
      </c>
    </row>
    <row r="81" spans="1:13" ht="12.75">
      <c r="A81" s="62" t="s">
        <v>235</v>
      </c>
      <c r="B81" s="28">
        <v>5</v>
      </c>
      <c r="C81" s="68"/>
      <c r="D81" s="69">
        <f>7350*B81</f>
        <v>36750</v>
      </c>
      <c r="E81" s="69"/>
      <c r="F81" s="51">
        <f t="shared" si="11"/>
        <v>36750</v>
      </c>
      <c r="G81" s="51">
        <f>(D81*7%)/5*4</f>
        <v>2058.0000000000005</v>
      </c>
      <c r="H81" s="51">
        <f>(D81*20%)/5*4</f>
        <v>5880</v>
      </c>
      <c r="I81" s="80">
        <f>(11163-7350)*1</f>
        <v>3813</v>
      </c>
      <c r="J81" s="51">
        <f t="shared" si="13"/>
        <v>48501</v>
      </c>
      <c r="K81" s="52">
        <f t="shared" si="7"/>
        <v>582012</v>
      </c>
      <c r="L81" s="52">
        <f t="shared" si="8"/>
        <v>175767.62399999998</v>
      </c>
      <c r="M81" s="52">
        <f t="shared" si="9"/>
        <v>757779.624</v>
      </c>
    </row>
    <row r="82" spans="1:13" ht="12.75">
      <c r="A82" s="62" t="s">
        <v>236</v>
      </c>
      <c r="B82" s="34"/>
      <c r="C82" s="71"/>
      <c r="D82" s="72"/>
      <c r="E82" s="72"/>
      <c r="F82" s="36"/>
      <c r="G82" s="42"/>
      <c r="H82" s="36"/>
      <c r="I82" s="81"/>
      <c r="J82" s="36"/>
      <c r="K82" s="37"/>
      <c r="L82" s="37"/>
      <c r="M82" s="37"/>
    </row>
    <row r="83" spans="1:13" ht="12.75">
      <c r="A83" s="76" t="s">
        <v>237</v>
      </c>
      <c r="B83" s="39">
        <v>4</v>
      </c>
      <c r="C83" s="74"/>
      <c r="D83" s="75">
        <f>7350*B83</f>
        <v>29400</v>
      </c>
      <c r="E83" s="75"/>
      <c r="F83" s="42">
        <f t="shared" si="11"/>
        <v>29400</v>
      </c>
      <c r="G83" s="42">
        <f>(D83*7%)/4*3</f>
        <v>1543.5</v>
      </c>
      <c r="H83" s="42">
        <f>(D83*20%)/4*3</f>
        <v>4410</v>
      </c>
      <c r="I83" s="82">
        <f>(11163-7350)*1</f>
        <v>3813</v>
      </c>
      <c r="J83" s="42">
        <f t="shared" si="13"/>
        <v>39166.5</v>
      </c>
      <c r="K83" s="43">
        <f t="shared" si="7"/>
        <v>469998</v>
      </c>
      <c r="L83" s="43">
        <f t="shared" si="8"/>
        <v>141939.396</v>
      </c>
      <c r="M83" s="43">
        <f t="shared" si="9"/>
        <v>611937.396</v>
      </c>
    </row>
    <row r="84" spans="1:13" ht="12.75">
      <c r="A84" s="76" t="s">
        <v>238</v>
      </c>
      <c r="B84" s="45"/>
      <c r="C84" s="66"/>
      <c r="D84" s="73"/>
      <c r="E84" s="73"/>
      <c r="F84" s="47"/>
      <c r="G84" s="47"/>
      <c r="H84" s="47"/>
      <c r="I84" s="79"/>
      <c r="J84" s="47"/>
      <c r="K84" s="48"/>
      <c r="L84" s="48"/>
      <c r="M84" s="48"/>
    </row>
    <row r="85" spans="1:13" ht="12.75">
      <c r="A85" s="62" t="s">
        <v>239</v>
      </c>
      <c r="B85" s="34"/>
      <c r="C85" s="71"/>
      <c r="D85" s="72"/>
      <c r="E85" s="72"/>
      <c r="F85" s="36"/>
      <c r="G85" s="42"/>
      <c r="H85" s="36"/>
      <c r="I85" s="81"/>
      <c r="J85" s="36"/>
      <c r="K85" s="37"/>
      <c r="L85" s="37"/>
      <c r="M85" s="37"/>
    </row>
    <row r="86" spans="1:13" ht="12.75">
      <c r="A86" s="76" t="s">
        <v>240</v>
      </c>
      <c r="B86" s="39">
        <v>16</v>
      </c>
      <c r="C86" s="74"/>
      <c r="D86" s="75">
        <f>7350*B86</f>
        <v>117600</v>
      </c>
      <c r="E86" s="75"/>
      <c r="F86" s="42">
        <f t="shared" si="11"/>
        <v>117600</v>
      </c>
      <c r="G86" s="42">
        <f>(D86*7%)/16*14</f>
        <v>7203</v>
      </c>
      <c r="H86" s="42">
        <f>(D86*20%)/16*14</f>
        <v>20580</v>
      </c>
      <c r="I86" s="82">
        <f>(11163-7350)*2</f>
        <v>7626</v>
      </c>
      <c r="J86" s="42">
        <f t="shared" si="13"/>
        <v>153009</v>
      </c>
      <c r="K86" s="43">
        <f t="shared" si="7"/>
        <v>1836108</v>
      </c>
      <c r="L86" s="43">
        <f t="shared" si="8"/>
        <v>554504.616</v>
      </c>
      <c r="M86" s="43">
        <f t="shared" si="9"/>
        <v>2390612.616</v>
      </c>
    </row>
    <row r="87" spans="1:13" ht="12.75">
      <c r="A87" s="76" t="s">
        <v>241</v>
      </c>
      <c r="B87" s="45"/>
      <c r="C87" s="66"/>
      <c r="D87" s="73"/>
      <c r="E87" s="73"/>
      <c r="F87" s="47"/>
      <c r="G87" s="42"/>
      <c r="H87" s="47"/>
      <c r="I87" s="83"/>
      <c r="J87" s="47"/>
      <c r="K87" s="48"/>
      <c r="L87" s="48"/>
      <c r="M87" s="48"/>
    </row>
    <row r="88" spans="1:13" ht="12.75">
      <c r="A88" s="62" t="s">
        <v>242</v>
      </c>
      <c r="B88" s="28">
        <v>13</v>
      </c>
      <c r="C88" s="68"/>
      <c r="D88" s="69">
        <f>4494*B88</f>
        <v>58422</v>
      </c>
      <c r="E88" s="69"/>
      <c r="F88" s="51">
        <f t="shared" si="11"/>
        <v>58422</v>
      </c>
      <c r="G88" s="51"/>
      <c r="H88" s="51"/>
      <c r="I88" s="84">
        <f>(11163-4494)*B88</f>
        <v>86697</v>
      </c>
      <c r="J88" s="51">
        <f t="shared" si="13"/>
        <v>145119</v>
      </c>
      <c r="K88" s="52">
        <f t="shared" si="7"/>
        <v>1741428</v>
      </c>
      <c r="L88" s="52">
        <f t="shared" si="8"/>
        <v>525911.2559999999</v>
      </c>
      <c r="M88" s="52">
        <f t="shared" si="9"/>
        <v>2267339.256</v>
      </c>
    </row>
    <row r="89" spans="1:13" ht="12.75">
      <c r="A89" s="62" t="s">
        <v>243</v>
      </c>
      <c r="B89" s="34"/>
      <c r="C89" s="71"/>
      <c r="D89" s="72"/>
      <c r="E89" s="72"/>
      <c r="F89" s="36"/>
      <c r="G89" s="42"/>
      <c r="H89" s="36"/>
      <c r="I89" s="85"/>
      <c r="J89" s="36"/>
      <c r="K89" s="37"/>
      <c r="L89" s="37"/>
      <c r="M89" s="37"/>
    </row>
    <row r="90" spans="1:13" ht="12.75">
      <c r="A90" s="76" t="s">
        <v>244</v>
      </c>
      <c r="B90" s="39">
        <v>23</v>
      </c>
      <c r="C90" s="74"/>
      <c r="D90" s="75">
        <f>5082*B90</f>
        <v>116886</v>
      </c>
      <c r="E90" s="75"/>
      <c r="F90" s="42">
        <f t="shared" si="11"/>
        <v>116886</v>
      </c>
      <c r="G90" s="42"/>
      <c r="H90" s="42"/>
      <c r="I90" s="86">
        <f>(11163-5082)*B90</f>
        <v>139863</v>
      </c>
      <c r="J90" s="42">
        <f t="shared" si="13"/>
        <v>256749</v>
      </c>
      <c r="K90" s="43">
        <f t="shared" si="7"/>
        <v>3080988</v>
      </c>
      <c r="L90" s="43">
        <f t="shared" si="8"/>
        <v>930458.3759999999</v>
      </c>
      <c r="M90" s="43">
        <f t="shared" si="9"/>
        <v>4011446.376</v>
      </c>
    </row>
    <row r="91" spans="1:13" ht="12.75">
      <c r="A91" s="76" t="s">
        <v>245</v>
      </c>
      <c r="B91" s="45"/>
      <c r="C91" s="66"/>
      <c r="D91" s="73"/>
      <c r="E91" s="73"/>
      <c r="F91" s="47"/>
      <c r="G91" s="42"/>
      <c r="H91" s="47"/>
      <c r="I91" s="83"/>
      <c r="J91" s="47"/>
      <c r="K91" s="48"/>
      <c r="L91" s="48"/>
      <c r="M91" s="48"/>
    </row>
    <row r="92" spans="1:13" ht="12.75">
      <c r="A92" s="62" t="s">
        <v>228</v>
      </c>
      <c r="B92" s="28">
        <v>9</v>
      </c>
      <c r="C92" s="68"/>
      <c r="D92" s="69">
        <f>4788*B92</f>
        <v>43092</v>
      </c>
      <c r="E92" s="69"/>
      <c r="F92" s="51">
        <f t="shared" si="11"/>
        <v>43092</v>
      </c>
      <c r="G92" s="51">
        <f>D92*7%</f>
        <v>3016.4400000000005</v>
      </c>
      <c r="H92" s="51">
        <f t="shared" si="12"/>
        <v>8618.4</v>
      </c>
      <c r="I92" s="84"/>
      <c r="J92" s="51">
        <f t="shared" si="13"/>
        <v>54726.840000000004</v>
      </c>
      <c r="K92" s="52">
        <f t="shared" si="7"/>
        <v>656722.0800000001</v>
      </c>
      <c r="L92" s="52">
        <f t="shared" si="8"/>
        <v>198330.06816000002</v>
      </c>
      <c r="M92" s="52">
        <f t="shared" si="9"/>
        <v>855052.1481600001</v>
      </c>
    </row>
    <row r="93" spans="1:13" ht="12.75">
      <c r="A93" s="62" t="s">
        <v>239</v>
      </c>
      <c r="B93" s="34"/>
      <c r="C93" s="71"/>
      <c r="D93" s="62"/>
      <c r="E93" s="72"/>
      <c r="F93" s="36"/>
      <c r="G93" s="36"/>
      <c r="H93" s="36"/>
      <c r="I93" s="85"/>
      <c r="J93" s="36"/>
      <c r="K93" s="37"/>
      <c r="L93" s="37"/>
      <c r="M93" s="37"/>
    </row>
    <row r="94" spans="1:13" ht="12.75">
      <c r="A94" s="65" t="s">
        <v>246</v>
      </c>
      <c r="B94" s="45">
        <v>1</v>
      </c>
      <c r="C94" s="66"/>
      <c r="D94" s="83">
        <v>7350</v>
      </c>
      <c r="E94" s="73"/>
      <c r="F94" s="47">
        <f t="shared" si="11"/>
        <v>7350</v>
      </c>
      <c r="G94" s="47">
        <f>D94*7%</f>
        <v>514.5</v>
      </c>
      <c r="H94" s="47">
        <f t="shared" si="12"/>
        <v>1470</v>
      </c>
      <c r="I94" s="83"/>
      <c r="J94" s="47">
        <f t="shared" si="13"/>
        <v>9334.5</v>
      </c>
      <c r="K94" s="48">
        <f t="shared" si="7"/>
        <v>112014</v>
      </c>
      <c r="L94" s="48">
        <f t="shared" si="8"/>
        <v>33828.227999999996</v>
      </c>
      <c r="M94" s="48">
        <f t="shared" si="9"/>
        <v>145842.228</v>
      </c>
    </row>
    <row r="95" spans="1:13" ht="12.75">
      <c r="A95" s="59" t="s">
        <v>247</v>
      </c>
      <c r="B95" s="28">
        <v>1</v>
      </c>
      <c r="C95" s="68"/>
      <c r="D95" s="84">
        <v>4200</v>
      </c>
      <c r="E95" s="69"/>
      <c r="F95" s="51">
        <f t="shared" si="11"/>
        <v>4200</v>
      </c>
      <c r="G95" s="51"/>
      <c r="H95" s="51"/>
      <c r="I95" s="84">
        <f>11163-4200</f>
        <v>6963</v>
      </c>
      <c r="J95" s="51">
        <f t="shared" si="13"/>
        <v>11163</v>
      </c>
      <c r="K95" s="52">
        <f t="shared" si="7"/>
        <v>133956</v>
      </c>
      <c r="L95" s="52">
        <f t="shared" si="8"/>
        <v>40454.712</v>
      </c>
      <c r="M95" s="52">
        <f t="shared" si="9"/>
        <v>174410.712</v>
      </c>
    </row>
    <row r="96" spans="1:13" ht="12.75">
      <c r="A96" s="70" t="s">
        <v>248</v>
      </c>
      <c r="B96" s="28">
        <v>1</v>
      </c>
      <c r="C96" s="68"/>
      <c r="D96" s="84">
        <v>9450</v>
      </c>
      <c r="E96" s="69"/>
      <c r="F96" s="51">
        <f t="shared" si="11"/>
        <v>9450</v>
      </c>
      <c r="G96" s="51">
        <f>D96*7%</f>
        <v>661.5000000000001</v>
      </c>
      <c r="H96" s="51">
        <f t="shared" si="12"/>
        <v>1890</v>
      </c>
      <c r="I96" s="84"/>
      <c r="J96" s="51">
        <f t="shared" si="13"/>
        <v>12001.5</v>
      </c>
      <c r="K96" s="52">
        <f t="shared" si="7"/>
        <v>144018</v>
      </c>
      <c r="L96" s="52">
        <f t="shared" si="8"/>
        <v>43493.436</v>
      </c>
      <c r="M96" s="52">
        <f t="shared" si="9"/>
        <v>187511.436</v>
      </c>
    </row>
    <row r="97" spans="1:13" ht="12.75">
      <c r="A97" s="87" t="s">
        <v>249</v>
      </c>
      <c r="B97" s="34"/>
      <c r="C97" s="71"/>
      <c r="D97" s="85"/>
      <c r="E97" s="72"/>
      <c r="F97" s="36"/>
      <c r="G97" s="36"/>
      <c r="H97" s="36"/>
      <c r="I97" s="85"/>
      <c r="J97" s="36"/>
      <c r="K97" s="37"/>
      <c r="L97" s="37"/>
      <c r="M97" s="37"/>
    </row>
    <row r="98" spans="1:13" ht="12.75">
      <c r="A98" s="88" t="s">
        <v>250</v>
      </c>
      <c r="B98" s="39">
        <v>1</v>
      </c>
      <c r="C98" s="74"/>
      <c r="D98" s="86">
        <v>9450</v>
      </c>
      <c r="E98" s="75"/>
      <c r="F98" s="42">
        <f t="shared" si="11"/>
        <v>9450</v>
      </c>
      <c r="G98" s="42"/>
      <c r="H98" s="42">
        <f t="shared" si="12"/>
        <v>1890</v>
      </c>
      <c r="I98" s="86"/>
      <c r="J98" s="42">
        <f t="shared" si="13"/>
        <v>11340</v>
      </c>
      <c r="K98" s="43">
        <f t="shared" si="7"/>
        <v>136080</v>
      </c>
      <c r="L98" s="43">
        <f t="shared" si="8"/>
        <v>41096.159999999996</v>
      </c>
      <c r="M98" s="43">
        <f t="shared" si="9"/>
        <v>177176.16</v>
      </c>
    </row>
    <row r="99" spans="1:13" ht="12.75">
      <c r="A99" s="66" t="s">
        <v>251</v>
      </c>
      <c r="B99" s="45"/>
      <c r="C99" s="66"/>
      <c r="D99" s="83"/>
      <c r="E99" s="73"/>
      <c r="F99" s="47"/>
      <c r="G99" s="47"/>
      <c r="H99" s="47"/>
      <c r="I99" s="83"/>
      <c r="J99" s="47"/>
      <c r="K99" s="48"/>
      <c r="L99" s="48"/>
      <c r="M99" s="48"/>
    </row>
    <row r="100" spans="1:13" ht="12.75">
      <c r="A100" s="68" t="s">
        <v>173</v>
      </c>
      <c r="B100" s="28">
        <v>1</v>
      </c>
      <c r="C100" s="68"/>
      <c r="D100" s="84">
        <v>7518</v>
      </c>
      <c r="E100" s="69"/>
      <c r="F100" s="51">
        <f t="shared" si="11"/>
        <v>7518</v>
      </c>
      <c r="G100" s="51">
        <f>D100*7%</f>
        <v>526.2600000000001</v>
      </c>
      <c r="H100" s="51">
        <f t="shared" si="12"/>
        <v>1503.6000000000001</v>
      </c>
      <c r="I100" s="84"/>
      <c r="J100" s="51">
        <f t="shared" si="13"/>
        <v>9547.86</v>
      </c>
      <c r="K100" s="52">
        <f t="shared" si="7"/>
        <v>114574.32</v>
      </c>
      <c r="L100" s="52">
        <f t="shared" si="8"/>
        <v>34601.44464</v>
      </c>
      <c r="M100" s="52">
        <f t="shared" si="9"/>
        <v>149175.76464</v>
      </c>
    </row>
    <row r="101" spans="1:13" ht="12.75">
      <c r="A101" s="71" t="s">
        <v>252</v>
      </c>
      <c r="B101" s="34"/>
      <c r="C101" s="71"/>
      <c r="D101" s="85"/>
      <c r="E101" s="72"/>
      <c r="F101" s="36"/>
      <c r="G101" s="36"/>
      <c r="H101" s="36"/>
      <c r="I101" s="85"/>
      <c r="J101" s="36"/>
      <c r="K101" s="37"/>
      <c r="L101" s="37"/>
      <c r="M101" s="37"/>
    </row>
    <row r="102" spans="1:13" ht="12.75">
      <c r="A102" s="66" t="s">
        <v>253</v>
      </c>
      <c r="B102" s="45">
        <v>1</v>
      </c>
      <c r="C102" s="66"/>
      <c r="D102" s="83">
        <v>4788</v>
      </c>
      <c r="E102" s="73"/>
      <c r="F102" s="47">
        <f t="shared" si="11"/>
        <v>4788</v>
      </c>
      <c r="G102" s="47">
        <f aca="true" t="shared" si="14" ref="G102:G109">D102*7%</f>
        <v>335.16</v>
      </c>
      <c r="H102" s="47">
        <f t="shared" si="12"/>
        <v>957.6</v>
      </c>
      <c r="I102" s="83"/>
      <c r="J102" s="47">
        <f t="shared" si="13"/>
        <v>6080.76</v>
      </c>
      <c r="K102" s="48">
        <f t="shared" si="7"/>
        <v>72969.12</v>
      </c>
      <c r="L102" s="48">
        <f t="shared" si="8"/>
        <v>22036.674239999997</v>
      </c>
      <c r="M102" s="48">
        <f t="shared" si="9"/>
        <v>95005.79423999999</v>
      </c>
    </row>
    <row r="103" spans="1:13" ht="12.75">
      <c r="A103" s="68" t="s">
        <v>254</v>
      </c>
      <c r="B103" s="28">
        <v>1</v>
      </c>
      <c r="C103" s="68"/>
      <c r="D103" s="84">
        <v>7350</v>
      </c>
      <c r="E103" s="69"/>
      <c r="F103" s="51">
        <f t="shared" si="11"/>
        <v>7350</v>
      </c>
      <c r="G103" s="51">
        <f t="shared" si="14"/>
        <v>514.5</v>
      </c>
      <c r="H103" s="51">
        <f t="shared" si="12"/>
        <v>1470</v>
      </c>
      <c r="I103" s="84"/>
      <c r="J103" s="51">
        <f t="shared" si="13"/>
        <v>9334.5</v>
      </c>
      <c r="K103" s="52">
        <f t="shared" si="7"/>
        <v>112014</v>
      </c>
      <c r="L103" s="52">
        <f t="shared" si="8"/>
        <v>33828.227999999996</v>
      </c>
      <c r="M103" s="52">
        <f t="shared" si="9"/>
        <v>145842.228</v>
      </c>
    </row>
    <row r="104" spans="1:13" ht="12.75">
      <c r="A104" s="68" t="s">
        <v>255</v>
      </c>
      <c r="B104" s="28">
        <v>1</v>
      </c>
      <c r="C104" s="68"/>
      <c r="D104" s="84">
        <v>7350</v>
      </c>
      <c r="E104" s="69"/>
      <c r="F104" s="51">
        <f t="shared" si="11"/>
        <v>7350</v>
      </c>
      <c r="G104" s="51">
        <f t="shared" si="14"/>
        <v>514.5</v>
      </c>
      <c r="H104" s="51">
        <f t="shared" si="12"/>
        <v>1470</v>
      </c>
      <c r="I104" s="84"/>
      <c r="J104" s="51">
        <f t="shared" si="13"/>
        <v>9334.5</v>
      </c>
      <c r="K104" s="52">
        <f t="shared" si="7"/>
        <v>112014</v>
      </c>
      <c r="L104" s="52">
        <f t="shared" si="8"/>
        <v>33828.227999999996</v>
      </c>
      <c r="M104" s="52">
        <f t="shared" si="9"/>
        <v>145842.228</v>
      </c>
    </row>
    <row r="105" spans="1:13" ht="12.75">
      <c r="A105" s="68" t="s">
        <v>256</v>
      </c>
      <c r="B105" s="28">
        <v>1</v>
      </c>
      <c r="C105" s="68"/>
      <c r="D105" s="84">
        <v>7350</v>
      </c>
      <c r="E105" s="69"/>
      <c r="F105" s="51">
        <f t="shared" si="11"/>
        <v>7350</v>
      </c>
      <c r="G105" s="51">
        <f t="shared" si="14"/>
        <v>514.5</v>
      </c>
      <c r="H105" s="51">
        <f t="shared" si="12"/>
        <v>1470</v>
      </c>
      <c r="I105" s="84"/>
      <c r="J105" s="51">
        <f t="shared" si="13"/>
        <v>9334.5</v>
      </c>
      <c r="K105" s="52">
        <f t="shared" si="7"/>
        <v>112014</v>
      </c>
      <c r="L105" s="52">
        <f t="shared" si="8"/>
        <v>33828.227999999996</v>
      </c>
      <c r="M105" s="52">
        <f t="shared" si="9"/>
        <v>145842.228</v>
      </c>
    </row>
    <row r="106" spans="1:13" ht="12.75">
      <c r="A106" s="68" t="s">
        <v>233</v>
      </c>
      <c r="B106" s="28">
        <v>1</v>
      </c>
      <c r="C106" s="68"/>
      <c r="D106" s="84">
        <v>7350</v>
      </c>
      <c r="E106" s="69"/>
      <c r="F106" s="51">
        <f t="shared" si="11"/>
        <v>7350</v>
      </c>
      <c r="G106" s="51">
        <f t="shared" si="14"/>
        <v>514.5</v>
      </c>
      <c r="H106" s="51">
        <f t="shared" si="12"/>
        <v>1470</v>
      </c>
      <c r="I106" s="84"/>
      <c r="J106" s="51">
        <f t="shared" si="13"/>
        <v>9334.5</v>
      </c>
      <c r="K106" s="52">
        <f t="shared" si="7"/>
        <v>112014</v>
      </c>
      <c r="L106" s="52">
        <f t="shared" si="8"/>
        <v>33828.227999999996</v>
      </c>
      <c r="M106" s="52">
        <f t="shared" si="9"/>
        <v>145842.228</v>
      </c>
    </row>
    <row r="107" spans="1:13" ht="12.75">
      <c r="A107" s="68" t="s">
        <v>234</v>
      </c>
      <c r="B107" s="28">
        <v>1</v>
      </c>
      <c r="C107" s="68"/>
      <c r="D107" s="84">
        <v>5670</v>
      </c>
      <c r="E107" s="69"/>
      <c r="F107" s="51">
        <f t="shared" si="11"/>
        <v>5670</v>
      </c>
      <c r="G107" s="51">
        <f t="shared" si="14"/>
        <v>396.90000000000003</v>
      </c>
      <c r="H107" s="51">
        <f t="shared" si="12"/>
        <v>1134</v>
      </c>
      <c r="I107" s="84"/>
      <c r="J107" s="51">
        <f t="shared" si="13"/>
        <v>7200.9</v>
      </c>
      <c r="K107" s="52">
        <f t="shared" si="7"/>
        <v>86410.79999999999</v>
      </c>
      <c r="L107" s="52">
        <f t="shared" si="8"/>
        <v>26096.061599999997</v>
      </c>
      <c r="M107" s="52">
        <f t="shared" si="9"/>
        <v>112506.86159999999</v>
      </c>
    </row>
    <row r="108" spans="1:13" ht="12.75">
      <c r="A108" s="68" t="s">
        <v>257</v>
      </c>
      <c r="B108" s="28">
        <v>1</v>
      </c>
      <c r="C108" s="68"/>
      <c r="D108" s="84">
        <v>5670</v>
      </c>
      <c r="E108" s="69"/>
      <c r="F108" s="51">
        <f t="shared" si="11"/>
        <v>5670</v>
      </c>
      <c r="G108" s="51">
        <f t="shared" si="14"/>
        <v>396.90000000000003</v>
      </c>
      <c r="H108" s="51">
        <f t="shared" si="12"/>
        <v>1134</v>
      </c>
      <c r="I108" s="84"/>
      <c r="J108" s="51">
        <f t="shared" si="13"/>
        <v>7200.9</v>
      </c>
      <c r="K108" s="52">
        <f t="shared" si="7"/>
        <v>86410.79999999999</v>
      </c>
      <c r="L108" s="52">
        <f t="shared" si="8"/>
        <v>26096.061599999997</v>
      </c>
      <c r="M108" s="52">
        <f t="shared" si="9"/>
        <v>112506.86159999999</v>
      </c>
    </row>
    <row r="109" spans="1:13" ht="12.75">
      <c r="A109" s="68" t="s">
        <v>235</v>
      </c>
      <c r="B109" s="28">
        <v>1</v>
      </c>
      <c r="C109" s="68"/>
      <c r="D109" s="84">
        <v>7350</v>
      </c>
      <c r="E109" s="69"/>
      <c r="F109" s="51">
        <f t="shared" si="11"/>
        <v>7350</v>
      </c>
      <c r="G109" s="51">
        <f t="shared" si="14"/>
        <v>514.5</v>
      </c>
      <c r="H109" s="51">
        <f t="shared" si="12"/>
        <v>1470</v>
      </c>
      <c r="I109" s="84"/>
      <c r="J109" s="51">
        <f t="shared" si="13"/>
        <v>9334.5</v>
      </c>
      <c r="K109" s="52">
        <f t="shared" si="7"/>
        <v>112014</v>
      </c>
      <c r="L109" s="52">
        <f t="shared" si="8"/>
        <v>33828.227999999996</v>
      </c>
      <c r="M109" s="52">
        <f t="shared" si="9"/>
        <v>145842.228</v>
      </c>
    </row>
    <row r="110" spans="1:13" ht="12.75">
      <c r="A110" s="68" t="s">
        <v>242</v>
      </c>
      <c r="B110" s="28">
        <v>4</v>
      </c>
      <c r="C110" s="68"/>
      <c r="D110" s="84">
        <f>4494*B110</f>
        <v>17976</v>
      </c>
      <c r="E110" s="69"/>
      <c r="F110" s="51">
        <f t="shared" si="11"/>
        <v>17976</v>
      </c>
      <c r="G110" s="51"/>
      <c r="H110" s="51"/>
      <c r="I110" s="84">
        <f>(11163-4494)*B110</f>
        <v>26676</v>
      </c>
      <c r="J110" s="51">
        <f>D110+G110+H110+I110</f>
        <v>44652</v>
      </c>
      <c r="K110" s="52">
        <f t="shared" si="7"/>
        <v>535824</v>
      </c>
      <c r="L110" s="52">
        <f t="shared" si="8"/>
        <v>161818.848</v>
      </c>
      <c r="M110" s="52">
        <f t="shared" si="9"/>
        <v>697642.848</v>
      </c>
    </row>
    <row r="111" spans="1:13" ht="12.75">
      <c r="A111" s="68" t="s">
        <v>247</v>
      </c>
      <c r="B111" s="28">
        <v>1</v>
      </c>
      <c r="C111" s="68"/>
      <c r="D111" s="84">
        <v>4200</v>
      </c>
      <c r="E111" s="69"/>
      <c r="F111" s="51">
        <f t="shared" si="11"/>
        <v>4200</v>
      </c>
      <c r="G111" s="51"/>
      <c r="H111" s="51"/>
      <c r="I111" s="84">
        <f>11163-F111</f>
        <v>6963</v>
      </c>
      <c r="J111" s="51">
        <f t="shared" si="13"/>
        <v>11163</v>
      </c>
      <c r="K111" s="52">
        <f t="shared" si="7"/>
        <v>133956</v>
      </c>
      <c r="L111" s="52">
        <f t="shared" si="8"/>
        <v>40454.712</v>
      </c>
      <c r="M111" s="52">
        <f t="shared" si="9"/>
        <v>174410.712</v>
      </c>
    </row>
    <row r="112" spans="1:13" ht="12.75">
      <c r="A112" s="68" t="s">
        <v>258</v>
      </c>
      <c r="B112" s="28">
        <v>1</v>
      </c>
      <c r="C112" s="68"/>
      <c r="D112" s="84">
        <v>4494</v>
      </c>
      <c r="E112" s="69"/>
      <c r="F112" s="51">
        <f t="shared" si="11"/>
        <v>4494</v>
      </c>
      <c r="G112" s="51"/>
      <c r="H112" s="51"/>
      <c r="I112" s="84">
        <f>11163-F112</f>
        <v>6669</v>
      </c>
      <c r="J112" s="51">
        <f t="shared" si="13"/>
        <v>11163</v>
      </c>
      <c r="K112" s="52">
        <f t="shared" si="7"/>
        <v>133956</v>
      </c>
      <c r="L112" s="52">
        <f t="shared" si="8"/>
        <v>40454.712</v>
      </c>
      <c r="M112" s="52">
        <f t="shared" si="9"/>
        <v>174410.712</v>
      </c>
    </row>
    <row r="113" spans="1:13" ht="12.75">
      <c r="A113" s="68" t="s">
        <v>259</v>
      </c>
      <c r="B113" s="28">
        <v>4</v>
      </c>
      <c r="C113" s="68"/>
      <c r="D113" s="84">
        <f>5670*B113</f>
        <v>22680</v>
      </c>
      <c r="E113" s="69"/>
      <c r="F113" s="51">
        <f t="shared" si="11"/>
        <v>22680</v>
      </c>
      <c r="G113" s="51"/>
      <c r="H113" s="51"/>
      <c r="I113" s="84">
        <f>(11163-5670)*B113</f>
        <v>21972</v>
      </c>
      <c r="J113" s="51">
        <f t="shared" si="13"/>
        <v>44652</v>
      </c>
      <c r="K113" s="52">
        <f t="shared" si="7"/>
        <v>535824</v>
      </c>
      <c r="L113" s="52">
        <f t="shared" si="8"/>
        <v>161818.848</v>
      </c>
      <c r="M113" s="52">
        <f t="shared" si="9"/>
        <v>697642.848</v>
      </c>
    </row>
    <row r="114" spans="1:13" ht="12.75">
      <c r="A114" s="68" t="s">
        <v>260</v>
      </c>
      <c r="B114" s="28">
        <v>1</v>
      </c>
      <c r="C114" s="68"/>
      <c r="D114" s="84">
        <v>5670</v>
      </c>
      <c r="E114" s="69"/>
      <c r="F114" s="51">
        <f t="shared" si="11"/>
        <v>5670</v>
      </c>
      <c r="G114" s="51"/>
      <c r="H114" s="51"/>
      <c r="I114" s="84">
        <f>11163-F114</f>
        <v>5493</v>
      </c>
      <c r="J114" s="51">
        <f t="shared" si="13"/>
        <v>11163</v>
      </c>
      <c r="K114" s="52">
        <f t="shared" si="7"/>
        <v>133956</v>
      </c>
      <c r="L114" s="52">
        <f t="shared" si="8"/>
        <v>40454.712</v>
      </c>
      <c r="M114" s="52">
        <f t="shared" si="9"/>
        <v>174410.712</v>
      </c>
    </row>
    <row r="115" spans="1:13" ht="12.75">
      <c r="A115" s="68" t="s">
        <v>261</v>
      </c>
      <c r="B115" s="28">
        <v>1</v>
      </c>
      <c r="C115" s="68"/>
      <c r="D115" s="84">
        <v>8064</v>
      </c>
      <c r="E115" s="69"/>
      <c r="F115" s="51">
        <f t="shared" si="11"/>
        <v>8064</v>
      </c>
      <c r="G115" s="51">
        <f>D115*7%</f>
        <v>564.48</v>
      </c>
      <c r="H115" s="51">
        <f t="shared" si="12"/>
        <v>1612.8000000000002</v>
      </c>
      <c r="I115" s="84"/>
      <c r="J115" s="51">
        <f t="shared" si="13"/>
        <v>10241.279999999999</v>
      </c>
      <c r="K115" s="52">
        <f t="shared" si="7"/>
        <v>122895.35999999999</v>
      </c>
      <c r="L115" s="52">
        <f t="shared" si="8"/>
        <v>37114.39872</v>
      </c>
      <c r="M115" s="52">
        <f t="shared" si="9"/>
        <v>160009.75871999998</v>
      </c>
    </row>
    <row r="116" spans="1:13" ht="12.75">
      <c r="A116" s="68" t="s">
        <v>262</v>
      </c>
      <c r="B116" s="28">
        <v>1</v>
      </c>
      <c r="C116" s="68"/>
      <c r="D116" s="84">
        <v>5376</v>
      </c>
      <c r="E116" s="69"/>
      <c r="F116" s="51">
        <f t="shared" si="11"/>
        <v>5376</v>
      </c>
      <c r="G116" s="51"/>
      <c r="H116" s="51"/>
      <c r="I116" s="84">
        <f>11163-D116</f>
        <v>5787</v>
      </c>
      <c r="J116" s="51">
        <f t="shared" si="13"/>
        <v>11163</v>
      </c>
      <c r="K116" s="52">
        <f t="shared" si="7"/>
        <v>133956</v>
      </c>
      <c r="L116" s="52">
        <f t="shared" si="8"/>
        <v>40454.712</v>
      </c>
      <c r="M116" s="52">
        <f t="shared" si="9"/>
        <v>174410.712</v>
      </c>
    </row>
    <row r="117" spans="1:13" ht="12.75">
      <c r="A117" s="68" t="s">
        <v>263</v>
      </c>
      <c r="B117" s="28">
        <v>2</v>
      </c>
      <c r="C117" s="68"/>
      <c r="D117" s="84">
        <f>4494*B117</f>
        <v>8988</v>
      </c>
      <c r="E117" s="69"/>
      <c r="F117" s="51">
        <f t="shared" si="11"/>
        <v>8988</v>
      </c>
      <c r="G117" s="51">
        <f>D117*7%</f>
        <v>629.1600000000001</v>
      </c>
      <c r="H117" s="51">
        <f t="shared" si="12"/>
        <v>1797.6000000000001</v>
      </c>
      <c r="I117" s="84">
        <f>(11163-4494)*B117</f>
        <v>13338</v>
      </c>
      <c r="J117" s="51">
        <f t="shared" si="13"/>
        <v>24752.760000000002</v>
      </c>
      <c r="K117" s="52">
        <f t="shared" si="7"/>
        <v>297033.12</v>
      </c>
      <c r="L117" s="52">
        <f t="shared" si="8"/>
        <v>89704.00224</v>
      </c>
      <c r="M117" s="52">
        <f t="shared" si="9"/>
        <v>386737.12224</v>
      </c>
    </row>
    <row r="118" spans="1:13" ht="12.75">
      <c r="A118" s="71" t="s">
        <v>264</v>
      </c>
      <c r="B118" s="34"/>
      <c r="C118" s="71"/>
      <c r="D118" s="85"/>
      <c r="E118" s="72"/>
      <c r="F118" s="36"/>
      <c r="G118" s="36"/>
      <c r="H118" s="36"/>
      <c r="I118" s="85"/>
      <c r="J118" s="36"/>
      <c r="K118" s="37"/>
      <c r="L118" s="37"/>
      <c r="M118" s="37"/>
    </row>
    <row r="119" spans="1:13" ht="12.75">
      <c r="A119" s="66" t="s">
        <v>265</v>
      </c>
      <c r="B119" s="45">
        <v>1</v>
      </c>
      <c r="C119" s="66"/>
      <c r="D119" s="83">
        <v>4788</v>
      </c>
      <c r="E119" s="73"/>
      <c r="F119" s="47">
        <f t="shared" si="11"/>
        <v>4788</v>
      </c>
      <c r="G119" s="47">
        <f>D119*7%</f>
        <v>335.16</v>
      </c>
      <c r="H119" s="47">
        <f t="shared" si="12"/>
        <v>957.6</v>
      </c>
      <c r="I119" s="83"/>
      <c r="J119" s="47">
        <f t="shared" si="13"/>
        <v>6080.76</v>
      </c>
      <c r="K119" s="48">
        <f t="shared" si="7"/>
        <v>72969.12</v>
      </c>
      <c r="L119" s="48">
        <f t="shared" si="8"/>
        <v>22036.674239999997</v>
      </c>
      <c r="M119" s="48">
        <f t="shared" si="9"/>
        <v>95005.79423999999</v>
      </c>
    </row>
    <row r="120" spans="1:13" ht="12.75">
      <c r="A120" s="68" t="s">
        <v>229</v>
      </c>
      <c r="B120" s="28">
        <v>7</v>
      </c>
      <c r="C120" s="68"/>
      <c r="D120" s="84">
        <f>4494*B120</f>
        <v>31458</v>
      </c>
      <c r="E120" s="69"/>
      <c r="F120" s="51">
        <f t="shared" si="11"/>
        <v>31458</v>
      </c>
      <c r="G120" s="51"/>
      <c r="H120" s="51"/>
      <c r="I120" s="84">
        <f>(11163-4494)*B120</f>
        <v>46683</v>
      </c>
      <c r="J120" s="51">
        <f t="shared" si="13"/>
        <v>78141</v>
      </c>
      <c r="K120" s="52">
        <f t="shared" si="7"/>
        <v>937692</v>
      </c>
      <c r="L120" s="52">
        <f t="shared" si="8"/>
        <v>283182.984</v>
      </c>
      <c r="M120" s="52">
        <f t="shared" si="9"/>
        <v>1220874.984</v>
      </c>
    </row>
    <row r="121" spans="1:13" ht="12.75">
      <c r="A121" s="68" t="s">
        <v>266</v>
      </c>
      <c r="B121" s="28">
        <v>1</v>
      </c>
      <c r="C121" s="68"/>
      <c r="D121" s="84">
        <v>7518</v>
      </c>
      <c r="E121" s="69"/>
      <c r="F121" s="51">
        <f t="shared" si="11"/>
        <v>7518</v>
      </c>
      <c r="G121" s="51"/>
      <c r="H121" s="51">
        <f t="shared" si="12"/>
        <v>1503.6000000000001</v>
      </c>
      <c r="I121" s="84"/>
      <c r="J121" s="51">
        <f t="shared" si="13"/>
        <v>9021.6</v>
      </c>
      <c r="K121" s="52">
        <f t="shared" si="7"/>
        <v>108259.20000000001</v>
      </c>
      <c r="L121" s="52">
        <f t="shared" si="8"/>
        <v>32694.278400000003</v>
      </c>
      <c r="M121" s="52">
        <f t="shared" si="9"/>
        <v>140953.47840000002</v>
      </c>
    </row>
    <row r="122" spans="1:13" ht="12.75">
      <c r="A122" s="68" t="s">
        <v>221</v>
      </c>
      <c r="B122" s="28">
        <v>1</v>
      </c>
      <c r="C122" s="68"/>
      <c r="D122" s="84">
        <v>7518</v>
      </c>
      <c r="E122" s="69"/>
      <c r="F122" s="51">
        <f t="shared" si="11"/>
        <v>7518</v>
      </c>
      <c r="G122" s="51"/>
      <c r="H122" s="51">
        <f t="shared" si="12"/>
        <v>1503.6000000000001</v>
      </c>
      <c r="I122" s="84"/>
      <c r="J122" s="51">
        <f t="shared" si="13"/>
        <v>9021.6</v>
      </c>
      <c r="K122" s="52">
        <f t="shared" si="7"/>
        <v>108259.20000000001</v>
      </c>
      <c r="L122" s="52">
        <f t="shared" si="8"/>
        <v>32694.278400000003</v>
      </c>
      <c r="M122" s="52">
        <f t="shared" si="9"/>
        <v>140953.47840000002</v>
      </c>
    </row>
    <row r="123" spans="1:13" ht="12.75">
      <c r="A123" s="62" t="s">
        <v>267</v>
      </c>
      <c r="B123" s="34">
        <v>143</v>
      </c>
      <c r="C123" s="71"/>
      <c r="D123" s="85">
        <v>1545840.81</v>
      </c>
      <c r="E123" s="72"/>
      <c r="F123" s="62">
        <f t="shared" si="11"/>
        <v>1545840.81</v>
      </c>
      <c r="G123" s="51"/>
      <c r="H123" s="51">
        <f>D123*20%-116847.4+20580</f>
        <v>212900.76200000002</v>
      </c>
      <c r="I123" s="84"/>
      <c r="J123" s="51">
        <f t="shared" si="13"/>
        <v>1758741.5720000002</v>
      </c>
      <c r="K123" s="52">
        <f t="shared" si="7"/>
        <v>21104898.864</v>
      </c>
      <c r="L123" s="52">
        <f t="shared" si="8"/>
        <v>6373679.456928</v>
      </c>
      <c r="M123" s="52">
        <f t="shared" si="9"/>
        <v>27478578.320928</v>
      </c>
    </row>
    <row r="124" spans="1:13" ht="12.75">
      <c r="A124" s="89" t="s">
        <v>268</v>
      </c>
      <c r="B124" s="90">
        <v>2</v>
      </c>
      <c r="C124" s="59"/>
      <c r="D124" s="84">
        <f>9936*B124</f>
        <v>19872</v>
      </c>
      <c r="E124" s="59"/>
      <c r="F124" s="84">
        <f>D124</f>
        <v>19872</v>
      </c>
      <c r="G124" s="51">
        <f>D124*7%</f>
        <v>1391.0400000000002</v>
      </c>
      <c r="H124" s="51">
        <f t="shared" si="12"/>
        <v>3974.4</v>
      </c>
      <c r="I124" s="84"/>
      <c r="J124" s="51">
        <f t="shared" si="13"/>
        <v>25237.440000000002</v>
      </c>
      <c r="K124" s="52">
        <f t="shared" si="7"/>
        <v>302849.28</v>
      </c>
      <c r="L124" s="52">
        <f t="shared" si="8"/>
        <v>91460.48256</v>
      </c>
      <c r="M124" s="52">
        <f t="shared" si="9"/>
        <v>394309.76256000006</v>
      </c>
    </row>
    <row r="125" spans="1:13" ht="12.75">
      <c r="A125" s="89" t="s">
        <v>269</v>
      </c>
      <c r="B125" s="91">
        <v>1</v>
      </c>
      <c r="C125" s="84"/>
      <c r="D125" s="84">
        <v>9936</v>
      </c>
      <c r="E125" s="84"/>
      <c r="F125" s="84">
        <f>D125</f>
        <v>9936</v>
      </c>
      <c r="G125" s="36">
        <f>D125*7%</f>
        <v>695.5200000000001</v>
      </c>
      <c r="H125" s="36">
        <f t="shared" si="12"/>
        <v>1987.2</v>
      </c>
      <c r="I125" s="85"/>
      <c r="J125" s="36">
        <f t="shared" si="13"/>
        <v>12618.720000000001</v>
      </c>
      <c r="K125" s="37">
        <f>J125*12</f>
        <v>151424.64</v>
      </c>
      <c r="L125" s="37">
        <f>K125*0.302</f>
        <v>45730.24128</v>
      </c>
      <c r="M125" s="37">
        <f>K125+L125</f>
        <v>197154.88128000003</v>
      </c>
    </row>
    <row r="126" spans="1:13" ht="12.75">
      <c r="A126" s="92" t="s">
        <v>270</v>
      </c>
      <c r="B126" s="93"/>
      <c r="C126" s="85"/>
      <c r="D126" s="85"/>
      <c r="E126" s="85"/>
      <c r="F126" s="85"/>
      <c r="G126" s="36"/>
      <c r="H126" s="36"/>
      <c r="I126" s="85"/>
      <c r="J126" s="36"/>
      <c r="K126" s="37"/>
      <c r="L126" s="37"/>
      <c r="M126" s="37"/>
    </row>
    <row r="127" spans="1:13" ht="12.75">
      <c r="A127" s="94" t="s">
        <v>271</v>
      </c>
      <c r="B127" s="95">
        <v>1</v>
      </c>
      <c r="C127" s="83"/>
      <c r="D127" s="83">
        <v>9936</v>
      </c>
      <c r="E127" s="83"/>
      <c r="F127" s="83">
        <f>D127</f>
        <v>9936</v>
      </c>
      <c r="G127" s="47">
        <f>D127*7%</f>
        <v>695.5200000000001</v>
      </c>
      <c r="H127" s="47">
        <f t="shared" si="12"/>
        <v>1987.2</v>
      </c>
      <c r="I127" s="83"/>
      <c r="J127" s="47">
        <f>D127+G127+H127+I127</f>
        <v>12618.720000000001</v>
      </c>
      <c r="K127" s="48">
        <f>J127*12</f>
        <v>151424.64</v>
      </c>
      <c r="L127" s="48">
        <f>K127*0.302</f>
        <v>45730.24128</v>
      </c>
      <c r="M127" s="48">
        <f>K127+L127</f>
        <v>197154.88128000003</v>
      </c>
    </row>
    <row r="128" spans="1:13" ht="12.75">
      <c r="A128" s="96" t="s">
        <v>272</v>
      </c>
      <c r="B128" s="97">
        <v>1</v>
      </c>
      <c r="C128" s="86"/>
      <c r="D128" s="86">
        <v>9936</v>
      </c>
      <c r="E128" s="86"/>
      <c r="F128" s="86">
        <f>D128</f>
        <v>9936</v>
      </c>
      <c r="G128" s="42">
        <f>D128*7%</f>
        <v>695.5200000000001</v>
      </c>
      <c r="H128" s="42">
        <f t="shared" si="12"/>
        <v>1987.2</v>
      </c>
      <c r="I128" s="86"/>
      <c r="J128" s="42">
        <f>D128+G128+H128+I128</f>
        <v>12618.720000000001</v>
      </c>
      <c r="K128" s="43">
        <f>J128*12</f>
        <v>151424.64</v>
      </c>
      <c r="L128" s="43">
        <f>K128*0.302</f>
        <v>45730.24128</v>
      </c>
      <c r="M128" s="43">
        <f>K128+L128</f>
        <v>197154.88128000003</v>
      </c>
    </row>
    <row r="129" spans="1:13" ht="12.75">
      <c r="A129" s="92" t="s">
        <v>273</v>
      </c>
      <c r="B129" s="93"/>
      <c r="C129" s="85"/>
      <c r="D129" s="85"/>
      <c r="E129" s="85"/>
      <c r="F129" s="85"/>
      <c r="G129" s="36"/>
      <c r="H129" s="36"/>
      <c r="I129" s="85"/>
      <c r="J129" s="36"/>
      <c r="K129" s="37"/>
      <c r="L129" s="37"/>
      <c r="M129" s="37"/>
    </row>
    <row r="130" spans="1:13" ht="12.75">
      <c r="A130" s="94" t="s">
        <v>274</v>
      </c>
      <c r="B130" s="95">
        <v>1</v>
      </c>
      <c r="C130" s="83"/>
      <c r="D130" s="83">
        <v>9936</v>
      </c>
      <c r="E130" s="83"/>
      <c r="F130" s="83">
        <f>D130</f>
        <v>9936</v>
      </c>
      <c r="G130" s="47">
        <f>D130*7%</f>
        <v>695.5200000000001</v>
      </c>
      <c r="H130" s="47">
        <f t="shared" si="12"/>
        <v>1987.2</v>
      </c>
      <c r="I130" s="83"/>
      <c r="J130" s="47">
        <f>D130+G130+H130+I130</f>
        <v>12618.720000000001</v>
      </c>
      <c r="K130" s="48">
        <f>J130*12</f>
        <v>151424.64</v>
      </c>
      <c r="L130" s="48">
        <f>K130*0.302</f>
        <v>45730.24128</v>
      </c>
      <c r="M130" s="48">
        <f>K130+L130</f>
        <v>197154.88128000003</v>
      </c>
    </row>
    <row r="131" spans="1:13" ht="12.75">
      <c r="A131" s="89" t="s">
        <v>275</v>
      </c>
      <c r="B131" s="98">
        <v>20</v>
      </c>
      <c r="C131" s="98">
        <v>20</v>
      </c>
      <c r="D131" s="84">
        <f>9936*B131</f>
        <v>198720</v>
      </c>
      <c r="E131" s="84">
        <f>D131</f>
        <v>198720</v>
      </c>
      <c r="F131" s="84"/>
      <c r="G131" s="47">
        <f>7611.22*B131</f>
        <v>152224.4</v>
      </c>
      <c r="H131" s="47">
        <f>G131</f>
        <v>152224.4</v>
      </c>
      <c r="I131" s="83"/>
      <c r="J131" s="47">
        <f>D131+G131+H131+I131</f>
        <v>503168.80000000005</v>
      </c>
      <c r="K131" s="48">
        <f>J131*12</f>
        <v>6038025.600000001</v>
      </c>
      <c r="L131" s="48">
        <f>K131*0.302</f>
        <v>1823483.7312</v>
      </c>
      <c r="M131" s="48">
        <f>K131+L131</f>
        <v>7861509.331200001</v>
      </c>
    </row>
  </sheetData>
  <sheetProtection/>
  <mergeCells count="11">
    <mergeCell ref="A1:A2"/>
    <mergeCell ref="B1:C1"/>
    <mergeCell ref="D1:D2"/>
    <mergeCell ref="E1:F1"/>
    <mergeCell ref="G1:G2"/>
    <mergeCell ref="H1:H2"/>
    <mergeCell ref="I1:I2"/>
    <mergeCell ref="J1:J2"/>
    <mergeCell ref="K1:K2"/>
    <mergeCell ref="L1:L2"/>
    <mergeCell ref="M1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1">
      <selection activeCell="BP16" sqref="BP16:CB16"/>
    </sheetView>
  </sheetViews>
  <sheetFormatPr defaultColWidth="1.12109375" defaultRowHeight="12.75"/>
  <cols>
    <col min="1" max="80" width="1.12109375" style="9" customWidth="1"/>
    <col min="81" max="16384" width="1.12109375" style="9" customWidth="1"/>
  </cols>
  <sheetData>
    <row r="1" spans="1:80" s="5" customFormat="1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</row>
    <row r="2" s="6" customFormat="1" ht="8.25"/>
    <row r="3" spans="1:80" ht="12.75">
      <c r="A3" s="126" t="s">
        <v>5</v>
      </c>
      <c r="B3" s="127"/>
      <c r="C3" s="127"/>
      <c r="D3" s="128"/>
      <c r="E3" s="126" t="s">
        <v>33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  <c r="AJ3" s="126" t="s">
        <v>34</v>
      </c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8"/>
      <c r="AX3" s="126" t="s">
        <v>38</v>
      </c>
      <c r="AY3" s="127"/>
      <c r="AZ3" s="127"/>
      <c r="BA3" s="127"/>
      <c r="BB3" s="127"/>
      <c r="BC3" s="127"/>
      <c r="BD3" s="127"/>
      <c r="BE3" s="127"/>
      <c r="BF3" s="128"/>
      <c r="BG3" s="126" t="s">
        <v>38</v>
      </c>
      <c r="BH3" s="127"/>
      <c r="BI3" s="127"/>
      <c r="BJ3" s="127"/>
      <c r="BK3" s="127"/>
      <c r="BL3" s="127"/>
      <c r="BM3" s="127"/>
      <c r="BN3" s="127"/>
      <c r="BO3" s="128"/>
      <c r="BP3" s="126" t="s">
        <v>42</v>
      </c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8"/>
    </row>
    <row r="4" spans="1:80" ht="12.75">
      <c r="A4" s="117" t="s">
        <v>6</v>
      </c>
      <c r="B4" s="118"/>
      <c r="C4" s="118"/>
      <c r="D4" s="119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J4" s="117" t="s">
        <v>35</v>
      </c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9"/>
      <c r="AX4" s="117" t="s">
        <v>39</v>
      </c>
      <c r="AY4" s="118"/>
      <c r="AZ4" s="118"/>
      <c r="BA4" s="118"/>
      <c r="BB4" s="118"/>
      <c r="BC4" s="118"/>
      <c r="BD4" s="118"/>
      <c r="BE4" s="118"/>
      <c r="BF4" s="119"/>
      <c r="BG4" s="117" t="s">
        <v>41</v>
      </c>
      <c r="BH4" s="118"/>
      <c r="BI4" s="118"/>
      <c r="BJ4" s="118"/>
      <c r="BK4" s="118"/>
      <c r="BL4" s="118"/>
      <c r="BM4" s="118"/>
      <c r="BN4" s="118"/>
      <c r="BO4" s="119"/>
      <c r="BP4" s="117" t="s">
        <v>111</v>
      </c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9"/>
    </row>
    <row r="5" spans="1:80" ht="12.75">
      <c r="A5" s="117"/>
      <c r="B5" s="118"/>
      <c r="C5" s="118"/>
      <c r="D5" s="119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J5" s="117" t="s">
        <v>36</v>
      </c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9"/>
      <c r="AX5" s="117" t="s">
        <v>40</v>
      </c>
      <c r="AY5" s="118"/>
      <c r="AZ5" s="118"/>
      <c r="BA5" s="118"/>
      <c r="BB5" s="118"/>
      <c r="BC5" s="118"/>
      <c r="BD5" s="118"/>
      <c r="BE5" s="118"/>
      <c r="BF5" s="119"/>
      <c r="BG5" s="117"/>
      <c r="BH5" s="118"/>
      <c r="BI5" s="118"/>
      <c r="BJ5" s="118"/>
      <c r="BK5" s="118"/>
      <c r="BL5" s="118"/>
      <c r="BM5" s="118"/>
      <c r="BN5" s="118"/>
      <c r="BO5" s="119"/>
      <c r="BP5" s="117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9"/>
    </row>
    <row r="6" spans="1:80" ht="12.75">
      <c r="A6" s="180"/>
      <c r="B6" s="181"/>
      <c r="C6" s="181"/>
      <c r="D6" s="182"/>
      <c r="E6" s="180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2"/>
      <c r="AJ6" s="180" t="s">
        <v>37</v>
      </c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2"/>
      <c r="AX6" s="180"/>
      <c r="AY6" s="181"/>
      <c r="AZ6" s="181"/>
      <c r="BA6" s="181"/>
      <c r="BB6" s="181"/>
      <c r="BC6" s="181"/>
      <c r="BD6" s="181"/>
      <c r="BE6" s="181"/>
      <c r="BF6" s="182"/>
      <c r="BG6" s="180"/>
      <c r="BH6" s="181"/>
      <c r="BI6" s="181"/>
      <c r="BJ6" s="181"/>
      <c r="BK6" s="181"/>
      <c r="BL6" s="181"/>
      <c r="BM6" s="181"/>
      <c r="BN6" s="181"/>
      <c r="BO6" s="182"/>
      <c r="BP6" s="180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2"/>
    </row>
    <row r="7" spans="1:80" ht="12.75">
      <c r="A7" s="180">
        <v>1</v>
      </c>
      <c r="B7" s="181"/>
      <c r="C7" s="181"/>
      <c r="D7" s="182"/>
      <c r="E7" s="180">
        <v>2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J7" s="180">
        <v>3</v>
      </c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4</v>
      </c>
      <c r="AY7" s="181"/>
      <c r="AZ7" s="181"/>
      <c r="BA7" s="181"/>
      <c r="BB7" s="181"/>
      <c r="BC7" s="181"/>
      <c r="BD7" s="181"/>
      <c r="BE7" s="181"/>
      <c r="BF7" s="182"/>
      <c r="BG7" s="180">
        <v>5</v>
      </c>
      <c r="BH7" s="181"/>
      <c r="BI7" s="181"/>
      <c r="BJ7" s="181"/>
      <c r="BK7" s="181"/>
      <c r="BL7" s="181"/>
      <c r="BM7" s="181"/>
      <c r="BN7" s="181"/>
      <c r="BO7" s="182"/>
      <c r="BP7" s="180">
        <v>6</v>
      </c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2"/>
    </row>
    <row r="8" spans="1:80" ht="12.75">
      <c r="A8" s="152"/>
      <c r="B8" s="153"/>
      <c r="C8" s="153"/>
      <c r="D8" s="154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4"/>
      <c r="AJ8" s="143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5"/>
      <c r="AX8" s="143"/>
      <c r="AY8" s="144"/>
      <c r="AZ8" s="144"/>
      <c r="BA8" s="144"/>
      <c r="BB8" s="144"/>
      <c r="BC8" s="144"/>
      <c r="BD8" s="144"/>
      <c r="BE8" s="144"/>
      <c r="BF8" s="145"/>
      <c r="BG8" s="143"/>
      <c r="BH8" s="144"/>
      <c r="BI8" s="144"/>
      <c r="BJ8" s="144"/>
      <c r="BK8" s="144"/>
      <c r="BL8" s="144"/>
      <c r="BM8" s="144"/>
      <c r="BN8" s="144"/>
      <c r="BO8" s="145"/>
      <c r="BP8" s="143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</row>
    <row r="9" spans="1:80" ht="12.75">
      <c r="A9" s="152"/>
      <c r="B9" s="153"/>
      <c r="C9" s="153"/>
      <c r="D9" s="154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4"/>
      <c r="AJ9" s="143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5"/>
      <c r="AX9" s="143"/>
      <c r="AY9" s="144"/>
      <c r="AZ9" s="144"/>
      <c r="BA9" s="144"/>
      <c r="BB9" s="144"/>
      <c r="BC9" s="144"/>
      <c r="BD9" s="144"/>
      <c r="BE9" s="144"/>
      <c r="BF9" s="145"/>
      <c r="BG9" s="143"/>
      <c r="BH9" s="144"/>
      <c r="BI9" s="144"/>
      <c r="BJ9" s="144"/>
      <c r="BK9" s="144"/>
      <c r="BL9" s="144"/>
      <c r="BM9" s="144"/>
      <c r="BN9" s="144"/>
      <c r="BO9" s="145"/>
      <c r="BP9" s="143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5"/>
    </row>
    <row r="10" spans="1:80" ht="12.75">
      <c r="A10" s="152"/>
      <c r="B10" s="153"/>
      <c r="C10" s="153"/>
      <c r="D10" s="154"/>
      <c r="E10" s="112" t="s">
        <v>30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06" t="s">
        <v>31</v>
      </c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8"/>
      <c r="AX10" s="106" t="s">
        <v>31</v>
      </c>
      <c r="AY10" s="107"/>
      <c r="AZ10" s="107"/>
      <c r="BA10" s="107"/>
      <c r="BB10" s="107"/>
      <c r="BC10" s="107"/>
      <c r="BD10" s="107"/>
      <c r="BE10" s="107"/>
      <c r="BF10" s="108"/>
      <c r="BG10" s="106" t="s">
        <v>31</v>
      </c>
      <c r="BH10" s="107"/>
      <c r="BI10" s="107"/>
      <c r="BJ10" s="107"/>
      <c r="BK10" s="107"/>
      <c r="BL10" s="107"/>
      <c r="BM10" s="107"/>
      <c r="BN10" s="107"/>
      <c r="BO10" s="108"/>
      <c r="BP10" s="143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5"/>
    </row>
    <row r="11" s="1" customFormat="1" ht="15.75"/>
    <row r="12" spans="1:80" s="5" customFormat="1" ht="15.75">
      <c r="A12" s="139" t="s">
        <v>139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</row>
    <row r="13" s="6" customFormat="1" ht="8.25"/>
    <row r="14" spans="1:80" ht="12.75">
      <c r="A14" s="126" t="s">
        <v>5</v>
      </c>
      <c r="B14" s="127"/>
      <c r="C14" s="127"/>
      <c r="D14" s="128"/>
      <c r="E14" s="126" t="s">
        <v>33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26" t="s">
        <v>43</v>
      </c>
      <c r="AK14" s="127"/>
      <c r="AL14" s="127"/>
      <c r="AM14" s="127"/>
      <c r="AN14" s="127"/>
      <c r="AO14" s="127"/>
      <c r="AP14" s="127"/>
      <c r="AQ14" s="127"/>
      <c r="AR14" s="127"/>
      <c r="AS14" s="127"/>
      <c r="AT14" s="128"/>
      <c r="AU14" s="126" t="s">
        <v>38</v>
      </c>
      <c r="AV14" s="127"/>
      <c r="AW14" s="127"/>
      <c r="AX14" s="127"/>
      <c r="AY14" s="127"/>
      <c r="AZ14" s="127"/>
      <c r="BA14" s="127"/>
      <c r="BB14" s="127"/>
      <c r="BC14" s="127"/>
      <c r="BD14" s="128"/>
      <c r="BE14" s="126" t="s">
        <v>49</v>
      </c>
      <c r="BF14" s="127"/>
      <c r="BG14" s="127"/>
      <c r="BH14" s="127"/>
      <c r="BI14" s="127"/>
      <c r="BJ14" s="127"/>
      <c r="BK14" s="127"/>
      <c r="BL14" s="127"/>
      <c r="BM14" s="127"/>
      <c r="BN14" s="127"/>
      <c r="BO14" s="128"/>
      <c r="BP14" s="126" t="s">
        <v>42</v>
      </c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8"/>
    </row>
    <row r="15" spans="1:80" ht="12.75">
      <c r="A15" s="117" t="s">
        <v>6</v>
      </c>
      <c r="B15" s="118"/>
      <c r="C15" s="118"/>
      <c r="D15" s="119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  <c r="AJ15" s="117" t="s">
        <v>39</v>
      </c>
      <c r="AK15" s="118"/>
      <c r="AL15" s="118"/>
      <c r="AM15" s="118"/>
      <c r="AN15" s="118"/>
      <c r="AO15" s="118"/>
      <c r="AP15" s="118"/>
      <c r="AQ15" s="118"/>
      <c r="AR15" s="118"/>
      <c r="AS15" s="118"/>
      <c r="AT15" s="119"/>
      <c r="AU15" s="117" t="s">
        <v>46</v>
      </c>
      <c r="AV15" s="118"/>
      <c r="AW15" s="118"/>
      <c r="AX15" s="118"/>
      <c r="AY15" s="118"/>
      <c r="AZ15" s="118"/>
      <c r="BA15" s="118"/>
      <c r="BB15" s="118"/>
      <c r="BC15" s="118"/>
      <c r="BD15" s="119"/>
      <c r="BE15" s="117" t="s">
        <v>50</v>
      </c>
      <c r="BF15" s="118"/>
      <c r="BG15" s="118"/>
      <c r="BH15" s="118"/>
      <c r="BI15" s="118"/>
      <c r="BJ15" s="118"/>
      <c r="BK15" s="118"/>
      <c r="BL15" s="118"/>
      <c r="BM15" s="118"/>
      <c r="BN15" s="118"/>
      <c r="BO15" s="119"/>
      <c r="BP15" s="117" t="s">
        <v>111</v>
      </c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9"/>
    </row>
    <row r="16" spans="1:80" ht="12.75">
      <c r="A16" s="117"/>
      <c r="B16" s="118"/>
      <c r="C16" s="118"/>
      <c r="D16" s="119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9"/>
      <c r="AJ16" s="117" t="s">
        <v>44</v>
      </c>
      <c r="AK16" s="118"/>
      <c r="AL16" s="118"/>
      <c r="AM16" s="118"/>
      <c r="AN16" s="118"/>
      <c r="AO16" s="118"/>
      <c r="AP16" s="118"/>
      <c r="AQ16" s="118"/>
      <c r="AR16" s="118"/>
      <c r="AS16" s="118"/>
      <c r="AT16" s="119"/>
      <c r="AU16" s="117" t="s">
        <v>47</v>
      </c>
      <c r="AV16" s="118"/>
      <c r="AW16" s="118"/>
      <c r="AX16" s="118"/>
      <c r="AY16" s="118"/>
      <c r="AZ16" s="118"/>
      <c r="BA16" s="118"/>
      <c r="BB16" s="118"/>
      <c r="BC16" s="118"/>
      <c r="BD16" s="119"/>
      <c r="BE16" s="117" t="s">
        <v>52</v>
      </c>
      <c r="BF16" s="118"/>
      <c r="BG16" s="118"/>
      <c r="BH16" s="118"/>
      <c r="BI16" s="118"/>
      <c r="BJ16" s="118"/>
      <c r="BK16" s="118"/>
      <c r="BL16" s="118"/>
      <c r="BM16" s="118"/>
      <c r="BN16" s="118"/>
      <c r="BO16" s="119"/>
      <c r="BP16" s="117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</row>
    <row r="17" spans="1:80" ht="12.75">
      <c r="A17" s="180"/>
      <c r="B17" s="181"/>
      <c r="C17" s="181"/>
      <c r="D17" s="182"/>
      <c r="E17" s="180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2"/>
      <c r="AJ17" s="180" t="s">
        <v>45</v>
      </c>
      <c r="AK17" s="181"/>
      <c r="AL17" s="181"/>
      <c r="AM17" s="181"/>
      <c r="AN17" s="181"/>
      <c r="AO17" s="181"/>
      <c r="AP17" s="181"/>
      <c r="AQ17" s="181"/>
      <c r="AR17" s="181"/>
      <c r="AS17" s="181"/>
      <c r="AT17" s="182"/>
      <c r="AU17" s="180" t="s">
        <v>48</v>
      </c>
      <c r="AV17" s="181"/>
      <c r="AW17" s="181"/>
      <c r="AX17" s="181"/>
      <c r="AY17" s="181"/>
      <c r="AZ17" s="181"/>
      <c r="BA17" s="181"/>
      <c r="BB17" s="181"/>
      <c r="BC17" s="181"/>
      <c r="BD17" s="182"/>
      <c r="BE17" s="180" t="s">
        <v>51</v>
      </c>
      <c r="BF17" s="181"/>
      <c r="BG17" s="181"/>
      <c r="BH17" s="181"/>
      <c r="BI17" s="181"/>
      <c r="BJ17" s="181"/>
      <c r="BK17" s="181"/>
      <c r="BL17" s="181"/>
      <c r="BM17" s="181"/>
      <c r="BN17" s="181"/>
      <c r="BO17" s="182"/>
      <c r="BP17" s="180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</row>
    <row r="18" spans="1:80" ht="12.75">
      <c r="A18" s="180">
        <v>1</v>
      </c>
      <c r="B18" s="181"/>
      <c r="C18" s="181"/>
      <c r="D18" s="182"/>
      <c r="E18" s="180">
        <v>2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2"/>
      <c r="AJ18" s="180">
        <v>3</v>
      </c>
      <c r="AK18" s="181"/>
      <c r="AL18" s="181"/>
      <c r="AM18" s="181"/>
      <c r="AN18" s="181"/>
      <c r="AO18" s="181"/>
      <c r="AP18" s="181"/>
      <c r="AQ18" s="181"/>
      <c r="AR18" s="181"/>
      <c r="AS18" s="181"/>
      <c r="AT18" s="182"/>
      <c r="AU18" s="180">
        <v>4</v>
      </c>
      <c r="AV18" s="181"/>
      <c r="AW18" s="181"/>
      <c r="AX18" s="181"/>
      <c r="AY18" s="181"/>
      <c r="AZ18" s="181"/>
      <c r="BA18" s="181"/>
      <c r="BB18" s="181"/>
      <c r="BC18" s="181"/>
      <c r="BD18" s="182"/>
      <c r="BE18" s="180">
        <v>5</v>
      </c>
      <c r="BF18" s="181"/>
      <c r="BG18" s="181"/>
      <c r="BH18" s="181"/>
      <c r="BI18" s="181"/>
      <c r="BJ18" s="181"/>
      <c r="BK18" s="181"/>
      <c r="BL18" s="181"/>
      <c r="BM18" s="181"/>
      <c r="BN18" s="181"/>
      <c r="BO18" s="182"/>
      <c r="BP18" s="180">
        <v>6</v>
      </c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</row>
    <row r="19" spans="1:80" ht="12.75">
      <c r="A19" s="152"/>
      <c r="B19" s="153"/>
      <c r="C19" s="153"/>
      <c r="D19" s="154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  <c r="AJ19" s="143"/>
      <c r="AK19" s="144"/>
      <c r="AL19" s="144"/>
      <c r="AM19" s="144"/>
      <c r="AN19" s="144"/>
      <c r="AO19" s="144"/>
      <c r="AP19" s="144"/>
      <c r="AQ19" s="144"/>
      <c r="AR19" s="144"/>
      <c r="AS19" s="144"/>
      <c r="AT19" s="145"/>
      <c r="AU19" s="143"/>
      <c r="AV19" s="144"/>
      <c r="AW19" s="144"/>
      <c r="AX19" s="144"/>
      <c r="AY19" s="144"/>
      <c r="AZ19" s="144"/>
      <c r="BA19" s="144"/>
      <c r="BB19" s="144"/>
      <c r="BC19" s="144"/>
      <c r="BD19" s="145"/>
      <c r="BE19" s="143"/>
      <c r="BF19" s="144"/>
      <c r="BG19" s="144"/>
      <c r="BH19" s="144"/>
      <c r="BI19" s="144"/>
      <c r="BJ19" s="144"/>
      <c r="BK19" s="144"/>
      <c r="BL19" s="144"/>
      <c r="BM19" s="144"/>
      <c r="BN19" s="144"/>
      <c r="BO19" s="145"/>
      <c r="BP19" s="143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5"/>
    </row>
    <row r="20" spans="1:80" ht="12.75">
      <c r="A20" s="152"/>
      <c r="B20" s="153"/>
      <c r="C20" s="153"/>
      <c r="D20" s="154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4"/>
      <c r="AJ20" s="143"/>
      <c r="AK20" s="144"/>
      <c r="AL20" s="144"/>
      <c r="AM20" s="144"/>
      <c r="AN20" s="144"/>
      <c r="AO20" s="144"/>
      <c r="AP20" s="144"/>
      <c r="AQ20" s="144"/>
      <c r="AR20" s="144"/>
      <c r="AS20" s="144"/>
      <c r="AT20" s="145"/>
      <c r="AU20" s="143"/>
      <c r="AV20" s="144"/>
      <c r="AW20" s="144"/>
      <c r="AX20" s="144"/>
      <c r="AY20" s="144"/>
      <c r="AZ20" s="144"/>
      <c r="BA20" s="144"/>
      <c r="BB20" s="144"/>
      <c r="BC20" s="144"/>
      <c r="BD20" s="145"/>
      <c r="BE20" s="143"/>
      <c r="BF20" s="144"/>
      <c r="BG20" s="144"/>
      <c r="BH20" s="144"/>
      <c r="BI20" s="144"/>
      <c r="BJ20" s="144"/>
      <c r="BK20" s="144"/>
      <c r="BL20" s="144"/>
      <c r="BM20" s="144"/>
      <c r="BN20" s="144"/>
      <c r="BO20" s="145"/>
      <c r="BP20" s="143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5"/>
    </row>
    <row r="21" spans="1:80" ht="12.75">
      <c r="A21" s="152"/>
      <c r="B21" s="153"/>
      <c r="C21" s="153"/>
      <c r="D21" s="154"/>
      <c r="E21" s="112" t="s">
        <v>30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1"/>
      <c r="AJ21" s="106" t="s">
        <v>31</v>
      </c>
      <c r="AK21" s="107"/>
      <c r="AL21" s="107"/>
      <c r="AM21" s="107"/>
      <c r="AN21" s="107"/>
      <c r="AO21" s="107"/>
      <c r="AP21" s="107"/>
      <c r="AQ21" s="107"/>
      <c r="AR21" s="107"/>
      <c r="AS21" s="107"/>
      <c r="AT21" s="108"/>
      <c r="AU21" s="106" t="s">
        <v>31</v>
      </c>
      <c r="AV21" s="107"/>
      <c r="AW21" s="107"/>
      <c r="AX21" s="107"/>
      <c r="AY21" s="107"/>
      <c r="AZ21" s="107"/>
      <c r="BA21" s="107"/>
      <c r="BB21" s="107"/>
      <c r="BC21" s="107"/>
      <c r="BD21" s="108"/>
      <c r="BE21" s="106" t="s">
        <v>31</v>
      </c>
      <c r="BF21" s="107"/>
      <c r="BG21" s="107"/>
      <c r="BH21" s="107"/>
      <c r="BI21" s="107"/>
      <c r="BJ21" s="107"/>
      <c r="BK21" s="107"/>
      <c r="BL21" s="107"/>
      <c r="BM21" s="107"/>
      <c r="BN21" s="107"/>
      <c r="BO21" s="108"/>
      <c r="BP21" s="143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5"/>
    </row>
    <row r="22" s="1" customFormat="1" ht="15.75"/>
    <row r="23" spans="1:80" s="5" customFormat="1" ht="15.75">
      <c r="A23" s="139" t="s">
        <v>53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</row>
    <row r="24" spans="1:80" ht="15.75">
      <c r="A24" s="139" t="s">
        <v>54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</row>
    <row r="25" spans="1:80" ht="15.75">
      <c r="A25" s="139" t="s">
        <v>55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</row>
    <row r="26" s="6" customFormat="1" ht="8.25"/>
    <row r="27" spans="1:80" ht="12.75">
      <c r="A27" s="126" t="s">
        <v>5</v>
      </c>
      <c r="B27" s="127"/>
      <c r="C27" s="127"/>
      <c r="D27" s="128"/>
      <c r="E27" s="126" t="s">
        <v>56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29" t="s">
        <v>58</v>
      </c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1"/>
      <c r="BQ27" s="126" t="s">
        <v>57</v>
      </c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8"/>
    </row>
    <row r="28" spans="1:80" ht="12.75">
      <c r="A28" s="117" t="s">
        <v>6</v>
      </c>
      <c r="B28" s="118"/>
      <c r="C28" s="118"/>
      <c r="D28" s="119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9"/>
      <c r="BE28" s="164" t="s">
        <v>59</v>
      </c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6"/>
      <c r="BQ28" s="117" t="s">
        <v>37</v>
      </c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9"/>
    </row>
    <row r="29" spans="1:80" ht="12.75">
      <c r="A29" s="117"/>
      <c r="B29" s="118"/>
      <c r="C29" s="118"/>
      <c r="D29" s="119"/>
      <c r="E29" s="117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64" t="s">
        <v>60</v>
      </c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6"/>
      <c r="BQ29" s="117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9"/>
    </row>
    <row r="30" spans="1:80" ht="12.75">
      <c r="A30" s="180"/>
      <c r="B30" s="181"/>
      <c r="C30" s="181"/>
      <c r="D30" s="182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2"/>
      <c r="BE30" s="106" t="s">
        <v>140</v>
      </c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8"/>
      <c r="BQ30" s="180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2"/>
    </row>
    <row r="31" spans="1:80" ht="12.75">
      <c r="A31" s="120">
        <v>1</v>
      </c>
      <c r="B31" s="121"/>
      <c r="C31" s="121"/>
      <c r="D31" s="122"/>
      <c r="E31" s="120">
        <v>2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2"/>
      <c r="BE31" s="103">
        <v>3</v>
      </c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120">
        <v>4</v>
      </c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2"/>
    </row>
    <row r="32" spans="1:80" ht="12.75">
      <c r="A32" s="103">
        <v>1</v>
      </c>
      <c r="B32" s="104"/>
      <c r="C32" s="104"/>
      <c r="D32" s="105"/>
      <c r="E32" s="114" t="s">
        <v>62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6"/>
      <c r="BE32" s="103" t="s">
        <v>31</v>
      </c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5"/>
      <c r="BQ32" s="112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1"/>
    </row>
    <row r="33" spans="1:80" ht="12.75">
      <c r="A33" s="126" t="s">
        <v>61</v>
      </c>
      <c r="B33" s="127"/>
      <c r="C33" s="127"/>
      <c r="D33" s="128"/>
      <c r="E33" s="190" t="s">
        <v>12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2"/>
      <c r="BE33" s="142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4"/>
      <c r="BQ33" s="142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4"/>
    </row>
    <row r="34" spans="1:80" ht="12.75">
      <c r="A34" s="180"/>
      <c r="B34" s="181"/>
      <c r="C34" s="181"/>
      <c r="D34" s="182"/>
      <c r="E34" s="184" t="s">
        <v>63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6"/>
      <c r="BE34" s="143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5"/>
      <c r="BQ34" s="143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5"/>
    </row>
    <row r="35" spans="1:80" ht="12.75">
      <c r="A35" s="103" t="s">
        <v>65</v>
      </c>
      <c r="B35" s="104"/>
      <c r="C35" s="104"/>
      <c r="D35" s="105"/>
      <c r="E35" s="187" t="s">
        <v>64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9"/>
      <c r="BE35" s="112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112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1"/>
    </row>
    <row r="36" spans="1:80" ht="12.75">
      <c r="A36" s="126" t="s">
        <v>66</v>
      </c>
      <c r="B36" s="127"/>
      <c r="C36" s="127"/>
      <c r="D36" s="128"/>
      <c r="E36" s="190" t="s">
        <v>67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2"/>
      <c r="BE36" s="142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4"/>
      <c r="BQ36" s="142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</row>
    <row r="37" spans="1:80" ht="12.75">
      <c r="A37" s="180"/>
      <c r="B37" s="181"/>
      <c r="C37" s="181"/>
      <c r="D37" s="182"/>
      <c r="E37" s="184" t="s">
        <v>68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6"/>
      <c r="BE37" s="143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143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5"/>
    </row>
    <row r="38" spans="1:80" ht="12.75">
      <c r="A38" s="126">
        <v>2</v>
      </c>
      <c r="B38" s="127"/>
      <c r="C38" s="127"/>
      <c r="D38" s="128"/>
      <c r="E38" s="123" t="s">
        <v>69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5"/>
      <c r="BE38" s="129" t="s">
        <v>31</v>
      </c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142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</row>
    <row r="39" spans="1:80" ht="12.75">
      <c r="A39" s="180"/>
      <c r="B39" s="181"/>
      <c r="C39" s="181"/>
      <c r="D39" s="182"/>
      <c r="E39" s="152" t="s">
        <v>141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4"/>
      <c r="BE39" s="106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143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5"/>
    </row>
    <row r="40" spans="1:80" ht="12.75">
      <c r="A40" s="126" t="s">
        <v>71</v>
      </c>
      <c r="B40" s="127"/>
      <c r="C40" s="127"/>
      <c r="D40" s="128"/>
      <c r="E40" s="190" t="s">
        <v>12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2"/>
      <c r="BE40" s="142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4"/>
      <c r="BQ40" s="142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</row>
    <row r="41" spans="1:80" ht="12.75">
      <c r="A41" s="117"/>
      <c r="B41" s="118"/>
      <c r="C41" s="118"/>
      <c r="D41" s="119"/>
      <c r="E41" s="193" t="s">
        <v>70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5"/>
      <c r="BE41" s="172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9"/>
      <c r="BQ41" s="172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9"/>
    </row>
    <row r="42" spans="1:80" ht="12.75">
      <c r="A42" s="180"/>
      <c r="B42" s="181"/>
      <c r="C42" s="181"/>
      <c r="D42" s="182"/>
      <c r="E42" s="184" t="s">
        <v>142</v>
      </c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6"/>
      <c r="BE42" s="143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5"/>
      <c r="BQ42" s="143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5"/>
    </row>
    <row r="43" spans="1:80" ht="12.75">
      <c r="A43" s="126" t="s">
        <v>74</v>
      </c>
      <c r="B43" s="127"/>
      <c r="C43" s="127"/>
      <c r="D43" s="128"/>
      <c r="E43" s="190" t="s">
        <v>72</v>
      </c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2"/>
      <c r="BE43" s="142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4"/>
      <c r="BQ43" s="142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4"/>
    </row>
    <row r="44" spans="1:80" ht="12.75">
      <c r="A44" s="180"/>
      <c r="B44" s="181"/>
      <c r="C44" s="181"/>
      <c r="D44" s="182"/>
      <c r="E44" s="184" t="s">
        <v>73</v>
      </c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6"/>
      <c r="BE44" s="143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5"/>
      <c r="BQ44" s="143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5"/>
    </row>
    <row r="45" spans="1:80" ht="12.75">
      <c r="A45" s="126" t="s">
        <v>77</v>
      </c>
      <c r="B45" s="127"/>
      <c r="C45" s="127"/>
      <c r="D45" s="128"/>
      <c r="E45" s="190" t="s">
        <v>75</v>
      </c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2"/>
      <c r="BE45" s="142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4"/>
      <c r="BQ45" s="142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</row>
    <row r="46" spans="1:80" ht="12.75">
      <c r="A46" s="180"/>
      <c r="B46" s="181"/>
      <c r="C46" s="181"/>
      <c r="D46" s="182"/>
      <c r="E46" s="184" t="s">
        <v>76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6"/>
      <c r="BE46" s="143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5"/>
      <c r="BQ46" s="143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5"/>
    </row>
    <row r="47" spans="1:80" ht="12.75">
      <c r="A47" s="126" t="s">
        <v>78</v>
      </c>
      <c r="B47" s="127"/>
      <c r="C47" s="127"/>
      <c r="D47" s="128"/>
      <c r="E47" s="190" t="s">
        <v>75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2"/>
      <c r="BE47" s="142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4"/>
      <c r="BQ47" s="142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4"/>
    </row>
    <row r="48" spans="1:80" ht="12.75" customHeight="1">
      <c r="A48" s="180"/>
      <c r="B48" s="181"/>
      <c r="C48" s="181"/>
      <c r="D48" s="182"/>
      <c r="E48" s="184" t="s">
        <v>80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6"/>
      <c r="BE48" s="143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5"/>
      <c r="BQ48" s="143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5"/>
    </row>
    <row r="49" spans="1:80" ht="12.75">
      <c r="A49" s="126" t="s">
        <v>79</v>
      </c>
      <c r="B49" s="127"/>
      <c r="C49" s="127"/>
      <c r="D49" s="128"/>
      <c r="E49" s="190" t="s">
        <v>75</v>
      </c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2"/>
      <c r="BE49" s="142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4"/>
      <c r="BQ49" s="142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</row>
    <row r="50" spans="1:80" ht="12.75" customHeight="1">
      <c r="A50" s="180"/>
      <c r="B50" s="181"/>
      <c r="C50" s="181"/>
      <c r="D50" s="182"/>
      <c r="E50" s="184" t="s">
        <v>80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6"/>
      <c r="BE50" s="143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5"/>
      <c r="BQ50" s="143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5"/>
    </row>
    <row r="51" spans="1:80" ht="12.75">
      <c r="A51" s="126">
        <v>3</v>
      </c>
      <c r="B51" s="127"/>
      <c r="C51" s="127"/>
      <c r="D51" s="128"/>
      <c r="E51" s="123" t="s">
        <v>81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5"/>
      <c r="BE51" s="142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142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4"/>
    </row>
    <row r="52" spans="1:80" ht="12.75">
      <c r="A52" s="180"/>
      <c r="B52" s="181"/>
      <c r="C52" s="181"/>
      <c r="D52" s="182"/>
      <c r="E52" s="152" t="s">
        <v>82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4"/>
      <c r="BE52" s="143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5"/>
      <c r="BQ52" s="143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5"/>
    </row>
    <row r="53" spans="1:80" ht="12.75">
      <c r="A53" s="103"/>
      <c r="B53" s="104"/>
      <c r="C53" s="104"/>
      <c r="D53" s="105"/>
      <c r="E53" s="112" t="s">
        <v>30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1"/>
      <c r="BE53" s="103" t="s">
        <v>31</v>
      </c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5"/>
      <c r="BQ53" s="112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1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80" s="12" customFormat="1" ht="11.25">
      <c r="A55" s="183" t="s">
        <v>143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</row>
    <row r="56" spans="1:80" s="12" customFormat="1" ht="11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</row>
    <row r="57" spans="1:80" s="12" customFormat="1" ht="24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</row>
  </sheetData>
  <sheetProtection/>
  <mergeCells count="180"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E40:BP42"/>
    <mergeCell ref="A40:D42"/>
    <mergeCell ref="A43:D44"/>
    <mergeCell ref="BE43:BP44"/>
    <mergeCell ref="BQ43:CB44"/>
    <mergeCell ref="E44:BD44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1">
      <selection activeCell="AN8" sqref="AN8:BA8"/>
    </sheetView>
  </sheetViews>
  <sheetFormatPr defaultColWidth="1.12109375" defaultRowHeight="12.75"/>
  <cols>
    <col min="1" max="16384" width="1.12109375" style="9" customWidth="1"/>
  </cols>
  <sheetData>
    <row r="1" spans="1:80" s="5" customFormat="1" ht="15.75">
      <c r="A1" s="139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.7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.7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</row>
    <row r="7" spans="1:80" ht="12.75">
      <c r="A7" s="126" t="s">
        <v>5</v>
      </c>
      <c r="B7" s="127"/>
      <c r="C7" s="127"/>
      <c r="D7" s="128"/>
      <c r="E7" s="126" t="s">
        <v>83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8"/>
      <c r="AN7" s="126" t="s">
        <v>85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8"/>
      <c r="BB7" s="126" t="s">
        <v>38</v>
      </c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8"/>
      <c r="BN7" s="126" t="s">
        <v>87</v>
      </c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8"/>
    </row>
    <row r="8" spans="1:80" ht="12.75">
      <c r="A8" s="117" t="s">
        <v>6</v>
      </c>
      <c r="B8" s="118"/>
      <c r="C8" s="118"/>
      <c r="D8" s="119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  <c r="AN8" s="117" t="s">
        <v>86</v>
      </c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9"/>
      <c r="BB8" s="117" t="s">
        <v>46</v>
      </c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9"/>
      <c r="BN8" s="117" t="s">
        <v>88</v>
      </c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9"/>
    </row>
    <row r="9" spans="1:80" ht="12.75">
      <c r="A9" s="117"/>
      <c r="B9" s="118"/>
      <c r="C9" s="118"/>
      <c r="D9" s="119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117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9"/>
      <c r="BB9" s="117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9"/>
      <c r="BN9" s="117" t="s">
        <v>97</v>
      </c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9"/>
    </row>
    <row r="10" spans="1:80" ht="12.75">
      <c r="A10" s="120">
        <v>1</v>
      </c>
      <c r="B10" s="121"/>
      <c r="C10" s="121"/>
      <c r="D10" s="122"/>
      <c r="E10" s="120">
        <v>2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2"/>
      <c r="AN10" s="120">
        <v>3</v>
      </c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>
        <v>4</v>
      </c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>
        <v>5</v>
      </c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2"/>
    </row>
    <row r="11" spans="1:80" ht="12.75">
      <c r="A11" s="152"/>
      <c r="B11" s="153"/>
      <c r="C11" s="153"/>
      <c r="D11" s="154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4"/>
      <c r="AN11" s="143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5"/>
      <c r="BB11" s="112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1"/>
      <c r="BN11" s="143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5"/>
    </row>
    <row r="12" spans="1:80" ht="12.75">
      <c r="A12" s="152"/>
      <c r="B12" s="153"/>
      <c r="C12" s="153"/>
      <c r="D12" s="154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4"/>
      <c r="AN12" s="143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5"/>
      <c r="BB12" s="112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1"/>
      <c r="BN12" s="143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5"/>
    </row>
    <row r="13" spans="1:80" ht="12.75">
      <c r="A13" s="152"/>
      <c r="B13" s="153"/>
      <c r="C13" s="153"/>
      <c r="D13" s="154"/>
      <c r="E13" s="112" t="s">
        <v>30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1"/>
      <c r="AN13" s="106" t="s">
        <v>31</v>
      </c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B13" s="103" t="s">
        <v>31</v>
      </c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5"/>
      <c r="BN13" s="143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5"/>
    </row>
    <row r="14" s="1" customFormat="1" ht="15.75"/>
    <row r="15" spans="1:80" s="5" customFormat="1" ht="15.75">
      <c r="A15" s="139" t="s">
        <v>144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</row>
    <row r="16" spans="1:80" s="8" customFormat="1" ht="9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5" customFormat="1" ht="15.75">
      <c r="A17" s="5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</row>
    <row r="18" spans="1:80" s="8" customFormat="1" ht="9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</row>
    <row r="19" spans="1:80" s="5" customFormat="1" ht="15.75">
      <c r="A19" s="5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</row>
    <row r="21" spans="1:80" ht="12.75">
      <c r="A21" s="126" t="s">
        <v>5</v>
      </c>
      <c r="B21" s="127"/>
      <c r="C21" s="127"/>
      <c r="D21" s="128"/>
      <c r="E21" s="126" t="s">
        <v>33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8"/>
      <c r="AN21" s="126" t="s">
        <v>89</v>
      </c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8"/>
      <c r="BB21" s="126" t="s">
        <v>92</v>
      </c>
      <c r="BC21" s="127"/>
      <c r="BD21" s="127"/>
      <c r="BE21" s="127"/>
      <c r="BF21" s="127"/>
      <c r="BG21" s="127"/>
      <c r="BH21" s="127"/>
      <c r="BI21" s="128"/>
      <c r="BJ21" s="126" t="s">
        <v>94</v>
      </c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8"/>
    </row>
    <row r="22" spans="1:80" ht="12.75">
      <c r="A22" s="117" t="s">
        <v>6</v>
      </c>
      <c r="B22" s="118"/>
      <c r="C22" s="118"/>
      <c r="D22" s="119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9"/>
      <c r="AN22" s="117" t="s">
        <v>90</v>
      </c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9"/>
      <c r="BB22" s="117" t="s">
        <v>93</v>
      </c>
      <c r="BC22" s="118"/>
      <c r="BD22" s="118"/>
      <c r="BE22" s="118"/>
      <c r="BF22" s="118"/>
      <c r="BG22" s="118"/>
      <c r="BH22" s="118"/>
      <c r="BI22" s="119"/>
      <c r="BJ22" s="117" t="s">
        <v>95</v>
      </c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9"/>
    </row>
    <row r="23" spans="1:80" ht="12.75">
      <c r="A23" s="117"/>
      <c r="B23" s="118"/>
      <c r="C23" s="118"/>
      <c r="D23" s="119"/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9"/>
      <c r="AN23" s="117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9"/>
      <c r="BB23" s="117"/>
      <c r="BC23" s="118"/>
      <c r="BD23" s="118"/>
      <c r="BE23" s="118"/>
      <c r="BF23" s="118"/>
      <c r="BG23" s="118"/>
      <c r="BH23" s="118"/>
      <c r="BI23" s="119"/>
      <c r="BJ23" s="117" t="s">
        <v>96</v>
      </c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9"/>
    </row>
    <row r="24" spans="1:80" ht="12.75">
      <c r="A24" s="117"/>
      <c r="B24" s="118"/>
      <c r="C24" s="118"/>
      <c r="D24" s="119"/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9"/>
      <c r="AN24" s="117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  <c r="BB24" s="117"/>
      <c r="BC24" s="118"/>
      <c r="BD24" s="118"/>
      <c r="BE24" s="118"/>
      <c r="BF24" s="118"/>
      <c r="BG24" s="118"/>
      <c r="BH24" s="118"/>
      <c r="BI24" s="119"/>
      <c r="BJ24" s="117" t="s">
        <v>98</v>
      </c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9"/>
    </row>
    <row r="25" spans="1:80" ht="12.75">
      <c r="A25" s="120">
        <v>1</v>
      </c>
      <c r="B25" s="121"/>
      <c r="C25" s="121"/>
      <c r="D25" s="122"/>
      <c r="E25" s="120">
        <v>2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2"/>
      <c r="AN25" s="120">
        <v>3</v>
      </c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2"/>
      <c r="BB25" s="120">
        <v>4</v>
      </c>
      <c r="BC25" s="121"/>
      <c r="BD25" s="121"/>
      <c r="BE25" s="121"/>
      <c r="BF25" s="121"/>
      <c r="BG25" s="121"/>
      <c r="BH25" s="121"/>
      <c r="BI25" s="122"/>
      <c r="BJ25" s="120">
        <v>5</v>
      </c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2"/>
    </row>
    <row r="26" spans="1:80" ht="12.75">
      <c r="A26" s="152"/>
      <c r="B26" s="153"/>
      <c r="C26" s="153"/>
      <c r="D26" s="154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4"/>
      <c r="AN26" s="143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5"/>
      <c r="BB26" s="112"/>
      <c r="BC26" s="110"/>
      <c r="BD26" s="110"/>
      <c r="BE26" s="110"/>
      <c r="BF26" s="110"/>
      <c r="BG26" s="110"/>
      <c r="BH26" s="110"/>
      <c r="BI26" s="111"/>
      <c r="BJ26" s="143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5"/>
    </row>
    <row r="27" spans="1:80" ht="12.75">
      <c r="A27" s="152"/>
      <c r="B27" s="153"/>
      <c r="C27" s="153"/>
      <c r="D27" s="154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4"/>
      <c r="AN27" s="143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112"/>
      <c r="BC27" s="110"/>
      <c r="BD27" s="110"/>
      <c r="BE27" s="110"/>
      <c r="BF27" s="110"/>
      <c r="BG27" s="110"/>
      <c r="BH27" s="110"/>
      <c r="BI27" s="111"/>
      <c r="BJ27" s="143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5"/>
    </row>
    <row r="28" spans="1:80" ht="12.75">
      <c r="A28" s="152"/>
      <c r="B28" s="153"/>
      <c r="C28" s="153"/>
      <c r="D28" s="154"/>
      <c r="E28" s="112" t="s">
        <v>30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1"/>
      <c r="AN28" s="112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3" t="s">
        <v>31</v>
      </c>
      <c r="BC28" s="104"/>
      <c r="BD28" s="104"/>
      <c r="BE28" s="104"/>
      <c r="BF28" s="104"/>
      <c r="BG28" s="104"/>
      <c r="BH28" s="104"/>
      <c r="BI28" s="105"/>
      <c r="BJ28" s="143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5"/>
    </row>
    <row r="29" s="1" customFormat="1" ht="15.75"/>
    <row r="30" spans="1:80" s="5" customFormat="1" ht="15.75">
      <c r="A30" s="139" t="s">
        <v>145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spans="1:80" s="8" customFormat="1" ht="9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5" customFormat="1" ht="15.75">
      <c r="A32" s="5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</row>
    <row r="33" spans="1:80" s="8" customFormat="1" ht="9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5" customFormat="1" ht="15.75">
      <c r="A34" s="5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6" spans="1:80" ht="12.75">
      <c r="A36" s="126" t="s">
        <v>5</v>
      </c>
      <c r="B36" s="127"/>
      <c r="C36" s="127"/>
      <c r="D36" s="128"/>
      <c r="E36" s="126" t="s">
        <v>83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126" t="s">
        <v>85</v>
      </c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8"/>
      <c r="BB36" s="126" t="s">
        <v>38</v>
      </c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26" t="s">
        <v>87</v>
      </c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</row>
    <row r="37" spans="1:80" ht="12.75">
      <c r="A37" s="117" t="s">
        <v>6</v>
      </c>
      <c r="B37" s="118"/>
      <c r="C37" s="118"/>
      <c r="D37" s="119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9"/>
      <c r="AN37" s="117" t="s">
        <v>86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9"/>
      <c r="BB37" s="117" t="s">
        <v>46</v>
      </c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9"/>
      <c r="BN37" s="117" t="s">
        <v>88</v>
      </c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9"/>
    </row>
    <row r="38" spans="1:80" ht="12.75">
      <c r="A38" s="117"/>
      <c r="B38" s="118"/>
      <c r="C38" s="118"/>
      <c r="D38" s="119"/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  <c r="AN38" s="117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9"/>
      <c r="BB38" s="117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9"/>
      <c r="BN38" s="117" t="s">
        <v>97</v>
      </c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9"/>
    </row>
    <row r="39" spans="1:80" ht="12.75">
      <c r="A39" s="120">
        <v>1</v>
      </c>
      <c r="B39" s="121"/>
      <c r="C39" s="121"/>
      <c r="D39" s="122"/>
      <c r="E39" s="120">
        <v>2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2"/>
      <c r="AN39" s="120">
        <v>3</v>
      </c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2"/>
      <c r="BB39" s="120">
        <v>4</v>
      </c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2"/>
      <c r="BN39" s="120">
        <v>5</v>
      </c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2"/>
    </row>
    <row r="40" spans="1:80" ht="12.75">
      <c r="A40" s="152"/>
      <c r="B40" s="153"/>
      <c r="C40" s="153"/>
      <c r="D40" s="154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4"/>
      <c r="AN40" s="143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5"/>
      <c r="BB40" s="112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43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5"/>
    </row>
    <row r="41" spans="1:80" ht="12.75">
      <c r="A41" s="152"/>
      <c r="B41" s="153"/>
      <c r="C41" s="153"/>
      <c r="D41" s="154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4"/>
      <c r="AN41" s="143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12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1"/>
      <c r="BN41" s="143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5"/>
    </row>
    <row r="42" spans="1:80" ht="12.75">
      <c r="A42" s="152"/>
      <c r="B42" s="153"/>
      <c r="C42" s="153"/>
      <c r="D42" s="154"/>
      <c r="E42" s="112" t="s">
        <v>30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1"/>
      <c r="AN42" s="106" t="s">
        <v>31</v>
      </c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8"/>
      <c r="BB42" s="103" t="s">
        <v>31</v>
      </c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5"/>
      <c r="BN42" s="143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5"/>
    </row>
    <row r="43" s="1" customFormat="1" ht="15.75"/>
    <row r="44" spans="1:80" s="5" customFormat="1" ht="15.75">
      <c r="A44" s="139" t="s">
        <v>99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</row>
    <row r="45" spans="1:80" s="5" customFormat="1" ht="15.75">
      <c r="A45" s="139" t="s">
        <v>100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</row>
    <row r="46" spans="1:80" s="8" customFormat="1" ht="9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5.75">
      <c r="A47" s="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</row>
    <row r="48" spans="1:80" s="8" customFormat="1" ht="9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" customFormat="1" ht="15.75">
      <c r="A49" s="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</row>
    <row r="51" spans="1:80" ht="12.75">
      <c r="A51" s="126" t="s">
        <v>5</v>
      </c>
      <c r="B51" s="127"/>
      <c r="C51" s="127"/>
      <c r="D51" s="128"/>
      <c r="E51" s="126" t="s">
        <v>83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8"/>
      <c r="AN51" s="126" t="s">
        <v>85</v>
      </c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8"/>
      <c r="BB51" s="126" t="s">
        <v>38</v>
      </c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8"/>
      <c r="BN51" s="126" t="s">
        <v>87</v>
      </c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8"/>
    </row>
    <row r="52" spans="1:80" ht="12.75">
      <c r="A52" s="117" t="s">
        <v>6</v>
      </c>
      <c r="B52" s="118"/>
      <c r="C52" s="118"/>
      <c r="D52" s="119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/>
      <c r="AN52" s="117" t="s">
        <v>86</v>
      </c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9"/>
      <c r="BB52" s="117" t="s">
        <v>46</v>
      </c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9"/>
      <c r="BN52" s="117" t="s">
        <v>88</v>
      </c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9"/>
    </row>
    <row r="53" spans="1:80" ht="12.75">
      <c r="A53" s="117"/>
      <c r="B53" s="118"/>
      <c r="C53" s="118"/>
      <c r="D53" s="119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  <c r="AN53" s="117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9"/>
      <c r="BB53" s="117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9"/>
      <c r="BN53" s="117" t="s">
        <v>97</v>
      </c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9"/>
    </row>
    <row r="54" spans="1:80" ht="12.75">
      <c r="A54" s="120">
        <v>1</v>
      </c>
      <c r="B54" s="121"/>
      <c r="C54" s="121"/>
      <c r="D54" s="122"/>
      <c r="E54" s="120">
        <v>2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2"/>
      <c r="AN54" s="120">
        <v>3</v>
      </c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2"/>
      <c r="BB54" s="120">
        <v>4</v>
      </c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2"/>
      <c r="BN54" s="120">
        <v>5</v>
      </c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2"/>
    </row>
    <row r="55" spans="1:80" ht="12.75">
      <c r="A55" s="152"/>
      <c r="B55" s="153"/>
      <c r="C55" s="153"/>
      <c r="D55" s="154"/>
      <c r="E55" s="15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4"/>
      <c r="AN55" s="143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5"/>
      <c r="BB55" s="112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1"/>
      <c r="BN55" s="143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5"/>
    </row>
    <row r="56" spans="1:80" ht="12.75">
      <c r="A56" s="152"/>
      <c r="B56" s="153"/>
      <c r="C56" s="153"/>
      <c r="D56" s="154"/>
      <c r="E56" s="152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4"/>
      <c r="AN56" s="143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5"/>
      <c r="BB56" s="112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1"/>
      <c r="BN56" s="143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5"/>
    </row>
    <row r="57" spans="1:80" ht="12.75">
      <c r="A57" s="152"/>
      <c r="B57" s="153"/>
      <c r="C57" s="153"/>
      <c r="D57" s="154"/>
      <c r="E57" s="112" t="s">
        <v>30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1"/>
      <c r="AN57" s="106" t="s">
        <v>31</v>
      </c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8"/>
      <c r="BB57" s="103" t="s">
        <v>31</v>
      </c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5"/>
      <c r="BN57" s="143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5"/>
    </row>
  </sheetData>
  <sheetProtection/>
  <mergeCells count="158"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view="pageLayout" workbookViewId="0" topLeftCell="A1">
      <selection activeCell="A1" sqref="A1:CB1"/>
    </sheetView>
  </sheetViews>
  <sheetFormatPr defaultColWidth="1.12109375" defaultRowHeight="12.75"/>
  <cols>
    <col min="1" max="16384" width="1.12109375" style="9" customWidth="1"/>
  </cols>
  <sheetData>
    <row r="1" spans="1:80" s="5" customFormat="1" ht="15.75">
      <c r="A1" s="139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.7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.7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</row>
    <row r="6" spans="2:80" s="5" customFormat="1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s="5" customFormat="1" ht="15.75">
      <c r="A7" s="139" t="s">
        <v>107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</row>
    <row r="9" spans="1:80" ht="12.75">
      <c r="A9" s="126" t="s">
        <v>5</v>
      </c>
      <c r="B9" s="127"/>
      <c r="C9" s="127"/>
      <c r="D9" s="128"/>
      <c r="E9" s="126" t="s">
        <v>33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J9" s="126" t="s">
        <v>38</v>
      </c>
      <c r="AK9" s="127"/>
      <c r="AL9" s="127"/>
      <c r="AM9" s="127"/>
      <c r="AN9" s="127"/>
      <c r="AO9" s="127"/>
      <c r="AP9" s="127"/>
      <c r="AQ9" s="127"/>
      <c r="AR9" s="127"/>
      <c r="AS9" s="127"/>
      <c r="AT9" s="128"/>
      <c r="AU9" s="126" t="s">
        <v>38</v>
      </c>
      <c r="AV9" s="127"/>
      <c r="AW9" s="127"/>
      <c r="AX9" s="127"/>
      <c r="AY9" s="127"/>
      <c r="AZ9" s="127"/>
      <c r="BA9" s="127"/>
      <c r="BB9" s="127"/>
      <c r="BC9" s="127"/>
      <c r="BD9" s="128"/>
      <c r="BE9" s="126" t="s">
        <v>105</v>
      </c>
      <c r="BF9" s="127"/>
      <c r="BG9" s="127"/>
      <c r="BH9" s="127"/>
      <c r="BI9" s="127"/>
      <c r="BJ9" s="127"/>
      <c r="BK9" s="127"/>
      <c r="BL9" s="127"/>
      <c r="BM9" s="127"/>
      <c r="BN9" s="127"/>
      <c r="BO9" s="128"/>
      <c r="BP9" s="126" t="s">
        <v>42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8"/>
    </row>
    <row r="10" spans="1:80" ht="12.75">
      <c r="A10" s="117" t="s">
        <v>6</v>
      </c>
      <c r="B10" s="118"/>
      <c r="C10" s="118"/>
      <c r="D10" s="119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117" t="s">
        <v>102</v>
      </c>
      <c r="AK10" s="118"/>
      <c r="AL10" s="118"/>
      <c r="AM10" s="118"/>
      <c r="AN10" s="118"/>
      <c r="AO10" s="118"/>
      <c r="AP10" s="118"/>
      <c r="AQ10" s="118"/>
      <c r="AR10" s="118"/>
      <c r="AS10" s="118"/>
      <c r="AT10" s="119"/>
      <c r="AU10" s="117" t="s">
        <v>104</v>
      </c>
      <c r="AV10" s="118"/>
      <c r="AW10" s="118"/>
      <c r="AX10" s="118"/>
      <c r="AY10" s="118"/>
      <c r="AZ10" s="118"/>
      <c r="BA10" s="118"/>
      <c r="BB10" s="118"/>
      <c r="BC10" s="118"/>
      <c r="BD10" s="119"/>
      <c r="BE10" s="117" t="s">
        <v>106</v>
      </c>
      <c r="BF10" s="118"/>
      <c r="BG10" s="118"/>
      <c r="BH10" s="118"/>
      <c r="BI10" s="118"/>
      <c r="BJ10" s="118"/>
      <c r="BK10" s="118"/>
      <c r="BL10" s="118"/>
      <c r="BM10" s="118"/>
      <c r="BN10" s="118"/>
      <c r="BO10" s="119"/>
      <c r="BP10" s="117" t="s">
        <v>111</v>
      </c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9"/>
    </row>
    <row r="11" spans="1:80" ht="12.75">
      <c r="A11" s="117"/>
      <c r="B11" s="118"/>
      <c r="C11" s="118"/>
      <c r="D11" s="119"/>
      <c r="E11" s="117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9"/>
      <c r="AJ11" s="117"/>
      <c r="AK11" s="118"/>
      <c r="AL11" s="118"/>
      <c r="AM11" s="118"/>
      <c r="AN11" s="118"/>
      <c r="AO11" s="118"/>
      <c r="AP11" s="118"/>
      <c r="AQ11" s="118"/>
      <c r="AR11" s="118"/>
      <c r="AS11" s="118"/>
      <c r="AT11" s="119"/>
      <c r="AU11" s="117" t="s">
        <v>103</v>
      </c>
      <c r="AV11" s="118"/>
      <c r="AW11" s="118"/>
      <c r="AX11" s="118"/>
      <c r="AY11" s="118"/>
      <c r="AZ11" s="118"/>
      <c r="BA11" s="118"/>
      <c r="BB11" s="118"/>
      <c r="BC11" s="118"/>
      <c r="BD11" s="119"/>
      <c r="BE11" s="117" t="s">
        <v>37</v>
      </c>
      <c r="BF11" s="118"/>
      <c r="BG11" s="118"/>
      <c r="BH11" s="118"/>
      <c r="BI11" s="118"/>
      <c r="BJ11" s="118"/>
      <c r="BK11" s="118"/>
      <c r="BL11" s="118"/>
      <c r="BM11" s="118"/>
      <c r="BN11" s="118"/>
      <c r="BO11" s="119"/>
      <c r="BP11" s="117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9"/>
    </row>
    <row r="12" spans="1:80" ht="12.75">
      <c r="A12" s="180"/>
      <c r="B12" s="181"/>
      <c r="C12" s="181"/>
      <c r="D12" s="182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2"/>
      <c r="AJ12" s="180"/>
      <c r="AK12" s="181"/>
      <c r="AL12" s="181"/>
      <c r="AM12" s="181"/>
      <c r="AN12" s="181"/>
      <c r="AO12" s="181"/>
      <c r="AP12" s="181"/>
      <c r="AQ12" s="181"/>
      <c r="AR12" s="181"/>
      <c r="AS12" s="181"/>
      <c r="AT12" s="182"/>
      <c r="AU12" s="180"/>
      <c r="AV12" s="181"/>
      <c r="AW12" s="181"/>
      <c r="AX12" s="181"/>
      <c r="AY12" s="181"/>
      <c r="AZ12" s="181"/>
      <c r="BA12" s="181"/>
      <c r="BB12" s="181"/>
      <c r="BC12" s="181"/>
      <c r="BD12" s="182"/>
      <c r="BE12" s="180"/>
      <c r="BF12" s="181"/>
      <c r="BG12" s="181"/>
      <c r="BH12" s="181"/>
      <c r="BI12" s="181"/>
      <c r="BJ12" s="181"/>
      <c r="BK12" s="181"/>
      <c r="BL12" s="181"/>
      <c r="BM12" s="181"/>
      <c r="BN12" s="181"/>
      <c r="BO12" s="182"/>
      <c r="BP12" s="180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</row>
    <row r="13" spans="1:80" ht="12.75">
      <c r="A13" s="180">
        <v>1</v>
      </c>
      <c r="B13" s="181"/>
      <c r="C13" s="181"/>
      <c r="D13" s="182"/>
      <c r="E13" s="180">
        <v>2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2"/>
      <c r="AJ13" s="180">
        <v>3</v>
      </c>
      <c r="AK13" s="181"/>
      <c r="AL13" s="181"/>
      <c r="AM13" s="181"/>
      <c r="AN13" s="181"/>
      <c r="AO13" s="181"/>
      <c r="AP13" s="181"/>
      <c r="AQ13" s="181"/>
      <c r="AR13" s="181"/>
      <c r="AS13" s="181"/>
      <c r="AT13" s="182"/>
      <c r="AU13" s="180">
        <v>4</v>
      </c>
      <c r="AV13" s="181"/>
      <c r="AW13" s="181"/>
      <c r="AX13" s="181"/>
      <c r="AY13" s="181"/>
      <c r="AZ13" s="181"/>
      <c r="BA13" s="181"/>
      <c r="BB13" s="181"/>
      <c r="BC13" s="181"/>
      <c r="BD13" s="182"/>
      <c r="BE13" s="180">
        <v>5</v>
      </c>
      <c r="BF13" s="181"/>
      <c r="BG13" s="181"/>
      <c r="BH13" s="181"/>
      <c r="BI13" s="181"/>
      <c r="BJ13" s="181"/>
      <c r="BK13" s="181"/>
      <c r="BL13" s="181"/>
      <c r="BM13" s="181"/>
      <c r="BN13" s="181"/>
      <c r="BO13" s="182"/>
      <c r="BP13" s="180">
        <v>6</v>
      </c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</row>
    <row r="14" spans="1:80" ht="12.75">
      <c r="A14" s="152"/>
      <c r="B14" s="153"/>
      <c r="C14" s="153"/>
      <c r="D14" s="154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4"/>
      <c r="AJ14" s="143"/>
      <c r="AK14" s="144"/>
      <c r="AL14" s="144"/>
      <c r="AM14" s="144"/>
      <c r="AN14" s="144"/>
      <c r="AO14" s="144"/>
      <c r="AP14" s="144"/>
      <c r="AQ14" s="144"/>
      <c r="AR14" s="144"/>
      <c r="AS14" s="144"/>
      <c r="AT14" s="145"/>
      <c r="AU14" s="143"/>
      <c r="AV14" s="144"/>
      <c r="AW14" s="144"/>
      <c r="AX14" s="144"/>
      <c r="AY14" s="144"/>
      <c r="AZ14" s="144"/>
      <c r="BA14" s="144"/>
      <c r="BB14" s="144"/>
      <c r="BC14" s="144"/>
      <c r="BD14" s="145"/>
      <c r="BE14" s="143"/>
      <c r="BF14" s="144"/>
      <c r="BG14" s="144"/>
      <c r="BH14" s="144"/>
      <c r="BI14" s="144"/>
      <c r="BJ14" s="144"/>
      <c r="BK14" s="144"/>
      <c r="BL14" s="144"/>
      <c r="BM14" s="144"/>
      <c r="BN14" s="144"/>
      <c r="BO14" s="145"/>
      <c r="BP14" s="143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</row>
    <row r="15" spans="1:80" ht="12.75">
      <c r="A15" s="152"/>
      <c r="B15" s="153"/>
      <c r="C15" s="153"/>
      <c r="D15" s="154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  <c r="AJ15" s="143"/>
      <c r="AK15" s="144"/>
      <c r="AL15" s="144"/>
      <c r="AM15" s="144"/>
      <c r="AN15" s="144"/>
      <c r="AO15" s="144"/>
      <c r="AP15" s="144"/>
      <c r="AQ15" s="144"/>
      <c r="AR15" s="144"/>
      <c r="AS15" s="144"/>
      <c r="AT15" s="145"/>
      <c r="AU15" s="143"/>
      <c r="AV15" s="144"/>
      <c r="AW15" s="144"/>
      <c r="AX15" s="144"/>
      <c r="AY15" s="144"/>
      <c r="AZ15" s="144"/>
      <c r="BA15" s="144"/>
      <c r="BB15" s="144"/>
      <c r="BC15" s="144"/>
      <c r="BD15" s="145"/>
      <c r="BE15" s="143"/>
      <c r="BF15" s="144"/>
      <c r="BG15" s="144"/>
      <c r="BH15" s="144"/>
      <c r="BI15" s="144"/>
      <c r="BJ15" s="144"/>
      <c r="BK15" s="144"/>
      <c r="BL15" s="144"/>
      <c r="BM15" s="144"/>
      <c r="BN15" s="144"/>
      <c r="BO15" s="145"/>
      <c r="BP15" s="143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>
      <c r="A16" s="152"/>
      <c r="B16" s="153"/>
      <c r="C16" s="153"/>
      <c r="D16" s="154"/>
      <c r="E16" s="112" t="s">
        <v>30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1"/>
      <c r="AJ16" s="106" t="s">
        <v>31</v>
      </c>
      <c r="AK16" s="107"/>
      <c r="AL16" s="107"/>
      <c r="AM16" s="107"/>
      <c r="AN16" s="107"/>
      <c r="AO16" s="107"/>
      <c r="AP16" s="107"/>
      <c r="AQ16" s="107"/>
      <c r="AR16" s="107"/>
      <c r="AS16" s="107"/>
      <c r="AT16" s="108"/>
      <c r="AU16" s="106" t="s">
        <v>31</v>
      </c>
      <c r="AV16" s="107"/>
      <c r="AW16" s="107"/>
      <c r="AX16" s="107"/>
      <c r="AY16" s="107"/>
      <c r="AZ16" s="107"/>
      <c r="BA16" s="107"/>
      <c r="BB16" s="107"/>
      <c r="BC16" s="107"/>
      <c r="BD16" s="108"/>
      <c r="BE16" s="106" t="s">
        <v>31</v>
      </c>
      <c r="BF16" s="107"/>
      <c r="BG16" s="107"/>
      <c r="BH16" s="107"/>
      <c r="BI16" s="107"/>
      <c r="BJ16" s="107"/>
      <c r="BK16" s="107"/>
      <c r="BL16" s="107"/>
      <c r="BM16" s="107"/>
      <c r="BN16" s="107"/>
      <c r="BO16" s="108"/>
      <c r="BP16" s="143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5"/>
    </row>
    <row r="17" s="1" customFormat="1" ht="15.75"/>
    <row r="18" spans="1:80" s="5" customFormat="1" ht="15.75">
      <c r="A18" s="139" t="s">
        <v>112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</row>
    <row r="20" spans="1:80" ht="12.75">
      <c r="A20" s="126" t="s">
        <v>5</v>
      </c>
      <c r="B20" s="127"/>
      <c r="C20" s="127"/>
      <c r="D20" s="128"/>
      <c r="E20" s="126" t="s">
        <v>33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8"/>
      <c r="AN20" s="126" t="s">
        <v>38</v>
      </c>
      <c r="AO20" s="127"/>
      <c r="AP20" s="127"/>
      <c r="AQ20" s="127"/>
      <c r="AR20" s="127"/>
      <c r="AS20" s="127"/>
      <c r="AT20" s="127"/>
      <c r="AU20" s="127"/>
      <c r="AV20" s="128"/>
      <c r="AW20" s="126" t="s">
        <v>110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8"/>
      <c r="BJ20" s="126" t="s">
        <v>42</v>
      </c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8"/>
    </row>
    <row r="21" spans="1:80" ht="12.75">
      <c r="A21" s="117" t="s">
        <v>6</v>
      </c>
      <c r="B21" s="118"/>
      <c r="C21" s="118"/>
      <c r="D21" s="119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117" t="s">
        <v>108</v>
      </c>
      <c r="AO21" s="118"/>
      <c r="AP21" s="118"/>
      <c r="AQ21" s="118"/>
      <c r="AR21" s="118"/>
      <c r="AS21" s="118"/>
      <c r="AT21" s="118"/>
      <c r="AU21" s="118"/>
      <c r="AV21" s="119"/>
      <c r="AW21" s="117" t="s">
        <v>146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 t="s">
        <v>97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9"/>
    </row>
    <row r="22" spans="1:80" ht="12.75">
      <c r="A22" s="117"/>
      <c r="B22" s="118"/>
      <c r="C22" s="118"/>
      <c r="D22" s="119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9"/>
      <c r="AN22" s="117" t="s">
        <v>109</v>
      </c>
      <c r="AO22" s="118"/>
      <c r="AP22" s="118"/>
      <c r="AQ22" s="118"/>
      <c r="AR22" s="118"/>
      <c r="AS22" s="118"/>
      <c r="AT22" s="118"/>
      <c r="AU22" s="118"/>
      <c r="AV22" s="119"/>
      <c r="AW22" s="117" t="s">
        <v>37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117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9"/>
    </row>
    <row r="23" spans="1:80" ht="12.75">
      <c r="A23" s="117"/>
      <c r="B23" s="118"/>
      <c r="C23" s="118"/>
      <c r="D23" s="119"/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9"/>
      <c r="AN23" s="117"/>
      <c r="AO23" s="118"/>
      <c r="AP23" s="118"/>
      <c r="AQ23" s="118"/>
      <c r="AR23" s="118"/>
      <c r="AS23" s="118"/>
      <c r="AT23" s="118"/>
      <c r="AU23" s="118"/>
      <c r="AV23" s="119"/>
      <c r="AW23" s="117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9"/>
      <c r="BJ23" s="117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9"/>
    </row>
    <row r="24" spans="1:80" ht="12.75">
      <c r="A24" s="120">
        <v>1</v>
      </c>
      <c r="B24" s="121"/>
      <c r="C24" s="121"/>
      <c r="D24" s="122"/>
      <c r="E24" s="120">
        <v>2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2"/>
      <c r="AN24" s="120">
        <v>3</v>
      </c>
      <c r="AO24" s="121"/>
      <c r="AP24" s="121"/>
      <c r="AQ24" s="121"/>
      <c r="AR24" s="121"/>
      <c r="AS24" s="121"/>
      <c r="AT24" s="121"/>
      <c r="AU24" s="121"/>
      <c r="AV24" s="122"/>
      <c r="AW24" s="120">
        <v>4</v>
      </c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2"/>
      <c r="BJ24" s="120">
        <v>5</v>
      </c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2"/>
    </row>
    <row r="25" spans="1:80" ht="12.75">
      <c r="A25" s="152"/>
      <c r="B25" s="153"/>
      <c r="C25" s="153"/>
      <c r="D25" s="154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4"/>
      <c r="AN25" s="112"/>
      <c r="AO25" s="110"/>
      <c r="AP25" s="110"/>
      <c r="AQ25" s="110"/>
      <c r="AR25" s="110"/>
      <c r="AS25" s="110"/>
      <c r="AT25" s="110"/>
      <c r="AU25" s="110"/>
      <c r="AV25" s="111"/>
      <c r="AW25" s="143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5"/>
      <c r="BJ25" s="143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5"/>
    </row>
    <row r="26" spans="1:80" ht="12.75">
      <c r="A26" s="152"/>
      <c r="B26" s="153"/>
      <c r="C26" s="153"/>
      <c r="D26" s="154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4"/>
      <c r="AN26" s="112"/>
      <c r="AO26" s="110"/>
      <c r="AP26" s="110"/>
      <c r="AQ26" s="110"/>
      <c r="AR26" s="110"/>
      <c r="AS26" s="110"/>
      <c r="AT26" s="110"/>
      <c r="AU26" s="110"/>
      <c r="AV26" s="111"/>
      <c r="AW26" s="143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5"/>
      <c r="BJ26" s="143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5"/>
    </row>
    <row r="27" spans="1:80" ht="12.75">
      <c r="A27" s="152"/>
      <c r="B27" s="153"/>
      <c r="C27" s="153"/>
      <c r="D27" s="154"/>
      <c r="E27" s="112" t="s">
        <v>30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1"/>
      <c r="AN27" s="112"/>
      <c r="AO27" s="110"/>
      <c r="AP27" s="110"/>
      <c r="AQ27" s="110"/>
      <c r="AR27" s="110"/>
      <c r="AS27" s="110"/>
      <c r="AT27" s="110"/>
      <c r="AU27" s="110"/>
      <c r="AV27" s="111"/>
      <c r="AW27" s="112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1"/>
      <c r="BJ27" s="143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5"/>
    </row>
    <row r="28" spans="2:80" s="5" customFormat="1" ht="15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5" customFormat="1" ht="15.75">
      <c r="A29" s="139" t="s">
        <v>113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</row>
    <row r="31" spans="1:80" ht="12.75">
      <c r="A31" s="126" t="s">
        <v>5</v>
      </c>
      <c r="B31" s="127"/>
      <c r="C31" s="127"/>
      <c r="D31" s="128"/>
      <c r="E31" s="126" t="s">
        <v>83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126" t="s">
        <v>49</v>
      </c>
      <c r="AK31" s="127"/>
      <c r="AL31" s="127"/>
      <c r="AM31" s="127"/>
      <c r="AN31" s="127"/>
      <c r="AO31" s="127"/>
      <c r="AP31" s="127"/>
      <c r="AQ31" s="127"/>
      <c r="AR31" s="127"/>
      <c r="AS31" s="127"/>
      <c r="AT31" s="128"/>
      <c r="AU31" s="126" t="s">
        <v>116</v>
      </c>
      <c r="AV31" s="127"/>
      <c r="AW31" s="127"/>
      <c r="AX31" s="127"/>
      <c r="AY31" s="127"/>
      <c r="AZ31" s="127"/>
      <c r="BA31" s="127"/>
      <c r="BB31" s="127"/>
      <c r="BC31" s="127"/>
      <c r="BD31" s="128"/>
      <c r="BE31" s="126" t="s">
        <v>119</v>
      </c>
      <c r="BF31" s="127"/>
      <c r="BG31" s="127"/>
      <c r="BH31" s="127"/>
      <c r="BI31" s="127"/>
      <c r="BJ31" s="127"/>
      <c r="BK31" s="127"/>
      <c r="BL31" s="127"/>
      <c r="BM31" s="127"/>
      <c r="BN31" s="127"/>
      <c r="BO31" s="128"/>
      <c r="BP31" s="126" t="s">
        <v>42</v>
      </c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8"/>
    </row>
    <row r="32" spans="1:80" ht="12.75">
      <c r="A32" s="117" t="s">
        <v>6</v>
      </c>
      <c r="B32" s="118"/>
      <c r="C32" s="118"/>
      <c r="D32" s="119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  <c r="AJ32" s="117" t="s">
        <v>114</v>
      </c>
      <c r="AK32" s="118"/>
      <c r="AL32" s="118"/>
      <c r="AM32" s="118"/>
      <c r="AN32" s="118"/>
      <c r="AO32" s="118"/>
      <c r="AP32" s="118"/>
      <c r="AQ32" s="118"/>
      <c r="AR32" s="118"/>
      <c r="AS32" s="118"/>
      <c r="AT32" s="119"/>
      <c r="AU32" s="117" t="s">
        <v>117</v>
      </c>
      <c r="AV32" s="118"/>
      <c r="AW32" s="118"/>
      <c r="AX32" s="118"/>
      <c r="AY32" s="118"/>
      <c r="AZ32" s="118"/>
      <c r="BA32" s="118"/>
      <c r="BB32" s="118"/>
      <c r="BC32" s="118"/>
      <c r="BD32" s="119"/>
      <c r="BE32" s="117" t="s">
        <v>91</v>
      </c>
      <c r="BF32" s="118"/>
      <c r="BG32" s="118"/>
      <c r="BH32" s="118"/>
      <c r="BI32" s="118"/>
      <c r="BJ32" s="118"/>
      <c r="BK32" s="118"/>
      <c r="BL32" s="118"/>
      <c r="BM32" s="118"/>
      <c r="BN32" s="118"/>
      <c r="BO32" s="119"/>
      <c r="BP32" s="117" t="s">
        <v>147</v>
      </c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9"/>
    </row>
    <row r="33" spans="1:80" ht="12.75">
      <c r="A33" s="117"/>
      <c r="B33" s="118"/>
      <c r="C33" s="118"/>
      <c r="D33" s="119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9"/>
      <c r="AJ33" s="117" t="s">
        <v>115</v>
      </c>
      <c r="AK33" s="118"/>
      <c r="AL33" s="118"/>
      <c r="AM33" s="118"/>
      <c r="AN33" s="118"/>
      <c r="AO33" s="118"/>
      <c r="AP33" s="118"/>
      <c r="AQ33" s="118"/>
      <c r="AR33" s="118"/>
      <c r="AS33" s="118"/>
      <c r="AT33" s="119"/>
      <c r="AU33" s="117" t="s">
        <v>118</v>
      </c>
      <c r="AV33" s="118"/>
      <c r="AW33" s="118"/>
      <c r="AX33" s="118"/>
      <c r="AY33" s="118"/>
      <c r="AZ33" s="118"/>
      <c r="BA33" s="118"/>
      <c r="BB33" s="118"/>
      <c r="BC33" s="118"/>
      <c r="BD33" s="119"/>
      <c r="BE33" s="117"/>
      <c r="BF33" s="118"/>
      <c r="BG33" s="118"/>
      <c r="BH33" s="118"/>
      <c r="BI33" s="118"/>
      <c r="BJ33" s="118"/>
      <c r="BK33" s="118"/>
      <c r="BL33" s="118"/>
      <c r="BM33" s="118"/>
      <c r="BN33" s="118"/>
      <c r="BO33" s="119"/>
      <c r="BP33" s="117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9"/>
    </row>
    <row r="34" spans="1:80" ht="12.75">
      <c r="A34" s="180"/>
      <c r="B34" s="181"/>
      <c r="C34" s="181"/>
      <c r="D34" s="182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2"/>
      <c r="AJ34" s="180"/>
      <c r="AK34" s="181"/>
      <c r="AL34" s="181"/>
      <c r="AM34" s="181"/>
      <c r="AN34" s="181"/>
      <c r="AO34" s="181"/>
      <c r="AP34" s="181"/>
      <c r="AQ34" s="181"/>
      <c r="AR34" s="181"/>
      <c r="AS34" s="181"/>
      <c r="AT34" s="182"/>
      <c r="AU34" s="180"/>
      <c r="AV34" s="181"/>
      <c r="AW34" s="181"/>
      <c r="AX34" s="181"/>
      <c r="AY34" s="181"/>
      <c r="AZ34" s="181"/>
      <c r="BA34" s="181"/>
      <c r="BB34" s="181"/>
      <c r="BC34" s="181"/>
      <c r="BD34" s="182"/>
      <c r="BE34" s="180"/>
      <c r="BF34" s="181"/>
      <c r="BG34" s="181"/>
      <c r="BH34" s="181"/>
      <c r="BI34" s="181"/>
      <c r="BJ34" s="181"/>
      <c r="BK34" s="181"/>
      <c r="BL34" s="181"/>
      <c r="BM34" s="181"/>
      <c r="BN34" s="181"/>
      <c r="BO34" s="182"/>
      <c r="BP34" s="180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</row>
    <row r="35" spans="1:80" ht="12.75">
      <c r="A35" s="180">
        <v>1</v>
      </c>
      <c r="B35" s="181"/>
      <c r="C35" s="181"/>
      <c r="D35" s="182"/>
      <c r="E35" s="180">
        <v>2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2"/>
      <c r="AJ35" s="180">
        <v>4</v>
      </c>
      <c r="AK35" s="181"/>
      <c r="AL35" s="181"/>
      <c r="AM35" s="181"/>
      <c r="AN35" s="181"/>
      <c r="AO35" s="181"/>
      <c r="AP35" s="181"/>
      <c r="AQ35" s="181"/>
      <c r="AR35" s="181"/>
      <c r="AS35" s="181"/>
      <c r="AT35" s="182"/>
      <c r="AU35" s="180">
        <v>5</v>
      </c>
      <c r="AV35" s="181"/>
      <c r="AW35" s="181"/>
      <c r="AX35" s="181"/>
      <c r="AY35" s="181"/>
      <c r="AZ35" s="181"/>
      <c r="BA35" s="181"/>
      <c r="BB35" s="181"/>
      <c r="BC35" s="181"/>
      <c r="BD35" s="182"/>
      <c r="BE35" s="180">
        <v>6</v>
      </c>
      <c r="BF35" s="181"/>
      <c r="BG35" s="181"/>
      <c r="BH35" s="181"/>
      <c r="BI35" s="181"/>
      <c r="BJ35" s="181"/>
      <c r="BK35" s="181"/>
      <c r="BL35" s="181"/>
      <c r="BM35" s="181"/>
      <c r="BN35" s="181"/>
      <c r="BO35" s="182"/>
      <c r="BP35" s="180">
        <v>6</v>
      </c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2"/>
    </row>
    <row r="36" spans="1:80" ht="12.75">
      <c r="A36" s="152"/>
      <c r="B36" s="153"/>
      <c r="C36" s="153"/>
      <c r="D36" s="154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4"/>
      <c r="AJ36" s="143"/>
      <c r="AK36" s="144"/>
      <c r="AL36" s="144"/>
      <c r="AM36" s="144"/>
      <c r="AN36" s="144"/>
      <c r="AO36" s="144"/>
      <c r="AP36" s="144"/>
      <c r="AQ36" s="144"/>
      <c r="AR36" s="144"/>
      <c r="AS36" s="144"/>
      <c r="AT36" s="145"/>
      <c r="AU36" s="143"/>
      <c r="AV36" s="144"/>
      <c r="AW36" s="144"/>
      <c r="AX36" s="144"/>
      <c r="AY36" s="144"/>
      <c r="AZ36" s="144"/>
      <c r="BA36" s="144"/>
      <c r="BB36" s="144"/>
      <c r="BC36" s="144"/>
      <c r="BD36" s="145"/>
      <c r="BE36" s="143"/>
      <c r="BF36" s="144"/>
      <c r="BG36" s="144"/>
      <c r="BH36" s="144"/>
      <c r="BI36" s="144"/>
      <c r="BJ36" s="144"/>
      <c r="BK36" s="144"/>
      <c r="BL36" s="144"/>
      <c r="BM36" s="144"/>
      <c r="BN36" s="144"/>
      <c r="BO36" s="145"/>
      <c r="BP36" s="143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5"/>
    </row>
    <row r="37" spans="1:80" ht="12.75">
      <c r="A37" s="152"/>
      <c r="B37" s="153"/>
      <c r="C37" s="153"/>
      <c r="D37" s="154"/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4"/>
      <c r="AJ37" s="143"/>
      <c r="AK37" s="144"/>
      <c r="AL37" s="144"/>
      <c r="AM37" s="144"/>
      <c r="AN37" s="144"/>
      <c r="AO37" s="144"/>
      <c r="AP37" s="144"/>
      <c r="AQ37" s="144"/>
      <c r="AR37" s="144"/>
      <c r="AS37" s="144"/>
      <c r="AT37" s="145"/>
      <c r="AU37" s="143"/>
      <c r="AV37" s="144"/>
      <c r="AW37" s="144"/>
      <c r="AX37" s="144"/>
      <c r="AY37" s="144"/>
      <c r="AZ37" s="144"/>
      <c r="BA37" s="144"/>
      <c r="BB37" s="144"/>
      <c r="BC37" s="144"/>
      <c r="BD37" s="145"/>
      <c r="BE37" s="143"/>
      <c r="BF37" s="144"/>
      <c r="BG37" s="144"/>
      <c r="BH37" s="144"/>
      <c r="BI37" s="144"/>
      <c r="BJ37" s="144"/>
      <c r="BK37" s="144"/>
      <c r="BL37" s="144"/>
      <c r="BM37" s="144"/>
      <c r="BN37" s="144"/>
      <c r="BO37" s="145"/>
      <c r="BP37" s="143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5"/>
    </row>
    <row r="38" spans="1:80" ht="12.75">
      <c r="A38" s="152"/>
      <c r="B38" s="153"/>
      <c r="C38" s="153"/>
      <c r="D38" s="154"/>
      <c r="E38" s="112" t="s">
        <v>30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1"/>
      <c r="AJ38" s="106" t="s">
        <v>31</v>
      </c>
      <c r="AK38" s="107"/>
      <c r="AL38" s="107"/>
      <c r="AM38" s="107"/>
      <c r="AN38" s="107"/>
      <c r="AO38" s="107"/>
      <c r="AP38" s="107"/>
      <c r="AQ38" s="107"/>
      <c r="AR38" s="107"/>
      <c r="AS38" s="107"/>
      <c r="AT38" s="108"/>
      <c r="AU38" s="106" t="s">
        <v>31</v>
      </c>
      <c r="AV38" s="107"/>
      <c r="AW38" s="107"/>
      <c r="AX38" s="107"/>
      <c r="AY38" s="107"/>
      <c r="AZ38" s="107"/>
      <c r="BA38" s="107"/>
      <c r="BB38" s="107"/>
      <c r="BC38" s="107"/>
      <c r="BD38" s="108"/>
      <c r="BE38" s="106" t="s">
        <v>31</v>
      </c>
      <c r="BF38" s="107"/>
      <c r="BG38" s="107"/>
      <c r="BH38" s="107"/>
      <c r="BI38" s="107"/>
      <c r="BJ38" s="107"/>
      <c r="BK38" s="107"/>
      <c r="BL38" s="107"/>
      <c r="BM38" s="107"/>
      <c r="BN38" s="107"/>
      <c r="BO38" s="108"/>
      <c r="BP38" s="143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5"/>
    </row>
    <row r="39" s="1" customFormat="1" ht="15.75"/>
    <row r="40" spans="1:80" s="5" customFormat="1" ht="15.75">
      <c r="A40" s="139" t="s">
        <v>120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</row>
    <row r="42" spans="1:80" ht="12.75">
      <c r="A42" s="126" t="s">
        <v>5</v>
      </c>
      <c r="B42" s="127"/>
      <c r="C42" s="127"/>
      <c r="D42" s="128"/>
      <c r="E42" s="126" t="s">
        <v>83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8"/>
      <c r="AR42" s="126" t="s">
        <v>38</v>
      </c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126" t="s">
        <v>121</v>
      </c>
      <c r="BE42" s="127"/>
      <c r="BF42" s="127"/>
      <c r="BG42" s="127"/>
      <c r="BH42" s="127"/>
      <c r="BI42" s="127"/>
      <c r="BJ42" s="127"/>
      <c r="BK42" s="127"/>
      <c r="BL42" s="127"/>
      <c r="BM42" s="127"/>
      <c r="BN42" s="128"/>
      <c r="BO42" s="126" t="s">
        <v>105</v>
      </c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8"/>
    </row>
    <row r="43" spans="1:80" ht="12.75">
      <c r="A43" s="117" t="s">
        <v>6</v>
      </c>
      <c r="B43" s="118"/>
      <c r="C43" s="118"/>
      <c r="D43" s="119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9"/>
      <c r="AR43" s="117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9"/>
      <c r="BD43" s="117" t="s">
        <v>122</v>
      </c>
      <c r="BE43" s="118"/>
      <c r="BF43" s="118"/>
      <c r="BG43" s="118"/>
      <c r="BH43" s="118"/>
      <c r="BI43" s="118"/>
      <c r="BJ43" s="118"/>
      <c r="BK43" s="118"/>
      <c r="BL43" s="118"/>
      <c r="BM43" s="118"/>
      <c r="BN43" s="119"/>
      <c r="BO43" s="117" t="s">
        <v>124</v>
      </c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9"/>
    </row>
    <row r="44" spans="1:80" ht="12.75">
      <c r="A44" s="117"/>
      <c r="B44" s="118"/>
      <c r="C44" s="118"/>
      <c r="D44" s="119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9"/>
      <c r="AR44" s="117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117" t="s">
        <v>123</v>
      </c>
      <c r="BE44" s="118"/>
      <c r="BF44" s="118"/>
      <c r="BG44" s="118"/>
      <c r="BH44" s="118"/>
      <c r="BI44" s="118"/>
      <c r="BJ44" s="118"/>
      <c r="BK44" s="118"/>
      <c r="BL44" s="118"/>
      <c r="BM44" s="118"/>
      <c r="BN44" s="119"/>
      <c r="BO44" s="117" t="s">
        <v>37</v>
      </c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9"/>
    </row>
    <row r="45" spans="1:80" ht="12.75">
      <c r="A45" s="120">
        <v>1</v>
      </c>
      <c r="B45" s="121"/>
      <c r="C45" s="121"/>
      <c r="D45" s="122"/>
      <c r="E45" s="120">
        <v>2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2"/>
      <c r="AR45" s="120">
        <v>4</v>
      </c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0">
        <v>5</v>
      </c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0">
        <v>6</v>
      </c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2"/>
    </row>
    <row r="46" spans="1:80" ht="12.75">
      <c r="A46" s="152"/>
      <c r="B46" s="153"/>
      <c r="C46" s="153"/>
      <c r="D46" s="154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143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5"/>
      <c r="BD46" s="143"/>
      <c r="BE46" s="144"/>
      <c r="BF46" s="144"/>
      <c r="BG46" s="144"/>
      <c r="BH46" s="144"/>
      <c r="BI46" s="144"/>
      <c r="BJ46" s="144"/>
      <c r="BK46" s="144"/>
      <c r="BL46" s="144"/>
      <c r="BM46" s="144"/>
      <c r="BN46" s="145"/>
      <c r="BO46" s="143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5"/>
    </row>
    <row r="47" spans="1:80" ht="12.75">
      <c r="A47" s="152"/>
      <c r="B47" s="153"/>
      <c r="C47" s="153"/>
      <c r="D47" s="154"/>
      <c r="E47" s="152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4"/>
      <c r="AR47" s="143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5"/>
      <c r="BD47" s="143"/>
      <c r="BE47" s="144"/>
      <c r="BF47" s="144"/>
      <c r="BG47" s="144"/>
      <c r="BH47" s="144"/>
      <c r="BI47" s="144"/>
      <c r="BJ47" s="144"/>
      <c r="BK47" s="144"/>
      <c r="BL47" s="144"/>
      <c r="BM47" s="144"/>
      <c r="BN47" s="145"/>
      <c r="BO47" s="143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5"/>
    </row>
    <row r="48" spans="1:80" ht="12.75">
      <c r="A48" s="152"/>
      <c r="B48" s="153"/>
      <c r="C48" s="153"/>
      <c r="D48" s="154"/>
      <c r="E48" s="112" t="s">
        <v>30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1"/>
      <c r="AR48" s="106" t="s">
        <v>31</v>
      </c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8"/>
      <c r="BD48" s="106" t="s">
        <v>31</v>
      </c>
      <c r="BE48" s="107"/>
      <c r="BF48" s="107"/>
      <c r="BG48" s="107"/>
      <c r="BH48" s="107"/>
      <c r="BI48" s="107"/>
      <c r="BJ48" s="107"/>
      <c r="BK48" s="107"/>
      <c r="BL48" s="107"/>
      <c r="BM48" s="107"/>
      <c r="BN48" s="108"/>
      <c r="BO48" s="103" t="s">
        <v>31</v>
      </c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5"/>
    </row>
    <row r="49" s="1" customFormat="1" ht="15.75"/>
  </sheetData>
  <sheetProtection/>
  <mergeCells count="178"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2:D42"/>
    <mergeCell ref="A37:D37"/>
    <mergeCell ref="A38:D38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E43:AQ43"/>
    <mergeCell ref="AR43:BC43"/>
    <mergeCell ref="BD43:BN43"/>
    <mergeCell ref="BO43:CB43"/>
    <mergeCell ref="E38:AI38"/>
    <mergeCell ref="AJ38:AT38"/>
    <mergeCell ref="AU38:BD38"/>
    <mergeCell ref="BE38:BO38"/>
    <mergeCell ref="BP38:CB38"/>
    <mergeCell ref="A40:CB40"/>
    <mergeCell ref="A46:D46"/>
    <mergeCell ref="E46:AQ46"/>
    <mergeCell ref="AR46:BC46"/>
    <mergeCell ref="BD46:BN46"/>
    <mergeCell ref="BO46:CB46"/>
    <mergeCell ref="E42:AQ42"/>
    <mergeCell ref="AR42:BC42"/>
    <mergeCell ref="BD42:BN42"/>
    <mergeCell ref="BO42:CB42"/>
    <mergeCell ref="A43:D43"/>
    <mergeCell ref="A48:D48"/>
    <mergeCell ref="E48:AQ48"/>
    <mergeCell ref="AR48:BC48"/>
    <mergeCell ref="BD48:BN48"/>
    <mergeCell ref="BO48:CB48"/>
    <mergeCell ref="A44:D44"/>
    <mergeCell ref="E44:AQ44"/>
    <mergeCell ref="AR44:BC44"/>
    <mergeCell ref="BD44:BN44"/>
    <mergeCell ref="BO44:CB44"/>
    <mergeCell ref="A47:D47"/>
    <mergeCell ref="E47:AQ47"/>
    <mergeCell ref="AR47:BC47"/>
    <mergeCell ref="BD47:BN47"/>
    <mergeCell ref="BO47:CB47"/>
    <mergeCell ref="A45:D45"/>
    <mergeCell ref="E45:AQ45"/>
    <mergeCell ref="AR45:BC45"/>
    <mergeCell ref="BD45:BN45"/>
    <mergeCell ref="BO45:CB4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30"/>
  <sheetViews>
    <sheetView view="pageLayout" workbookViewId="0" topLeftCell="A1">
      <selection activeCell="CO10" sqref="CO10"/>
    </sheetView>
  </sheetViews>
  <sheetFormatPr defaultColWidth="1.12109375" defaultRowHeight="12.75"/>
  <cols>
    <col min="1" max="16384" width="1.12109375" style="9" customWidth="1"/>
  </cols>
  <sheetData>
    <row r="1" spans="1:80" s="5" customFormat="1" ht="15.75">
      <c r="A1" s="139" t="s">
        <v>125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12.75">
      <c r="A3" s="126" t="s">
        <v>5</v>
      </c>
      <c r="B3" s="127"/>
      <c r="C3" s="127"/>
      <c r="D3" s="128"/>
      <c r="E3" s="126" t="s">
        <v>33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8"/>
      <c r="AN3" s="126" t="s">
        <v>126</v>
      </c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8"/>
      <c r="BD3" s="126" t="s">
        <v>38</v>
      </c>
      <c r="BE3" s="127"/>
      <c r="BF3" s="127"/>
      <c r="BG3" s="127"/>
      <c r="BH3" s="127"/>
      <c r="BI3" s="127"/>
      <c r="BJ3" s="127"/>
      <c r="BK3" s="127"/>
      <c r="BL3" s="127"/>
      <c r="BM3" s="128"/>
      <c r="BN3" s="126" t="s">
        <v>105</v>
      </c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8"/>
    </row>
    <row r="4" spans="1:80" ht="12.75">
      <c r="A4" s="117" t="s">
        <v>6</v>
      </c>
      <c r="B4" s="118"/>
      <c r="C4" s="118"/>
      <c r="D4" s="119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9"/>
      <c r="AN4" s="117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9"/>
      <c r="BD4" s="117" t="s">
        <v>127</v>
      </c>
      <c r="BE4" s="118"/>
      <c r="BF4" s="118"/>
      <c r="BG4" s="118"/>
      <c r="BH4" s="118"/>
      <c r="BI4" s="118"/>
      <c r="BJ4" s="118"/>
      <c r="BK4" s="118"/>
      <c r="BL4" s="118"/>
      <c r="BM4" s="119"/>
      <c r="BN4" s="117" t="s">
        <v>148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9"/>
    </row>
    <row r="5" spans="1:80" ht="12.75">
      <c r="A5" s="117"/>
      <c r="B5" s="118"/>
      <c r="C5" s="118"/>
      <c r="D5" s="119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9"/>
      <c r="AN5" s="117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9"/>
      <c r="BD5" s="117" t="s">
        <v>128</v>
      </c>
      <c r="BE5" s="118"/>
      <c r="BF5" s="118"/>
      <c r="BG5" s="118"/>
      <c r="BH5" s="118"/>
      <c r="BI5" s="118"/>
      <c r="BJ5" s="118"/>
      <c r="BK5" s="118"/>
      <c r="BL5" s="118"/>
      <c r="BM5" s="119"/>
      <c r="BN5" s="117" t="s">
        <v>37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9"/>
    </row>
    <row r="6" spans="1:80" ht="12.75">
      <c r="A6" s="120">
        <v>1</v>
      </c>
      <c r="B6" s="121"/>
      <c r="C6" s="121"/>
      <c r="D6" s="122"/>
      <c r="E6" s="120">
        <v>2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2"/>
      <c r="AN6" s="120">
        <v>3</v>
      </c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2"/>
      <c r="BD6" s="120">
        <v>4</v>
      </c>
      <c r="BE6" s="121"/>
      <c r="BF6" s="121"/>
      <c r="BG6" s="121"/>
      <c r="BH6" s="121"/>
      <c r="BI6" s="121"/>
      <c r="BJ6" s="121"/>
      <c r="BK6" s="121"/>
      <c r="BL6" s="121"/>
      <c r="BM6" s="122"/>
      <c r="BN6" s="120">
        <v>5</v>
      </c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2"/>
    </row>
    <row r="7" spans="1:80" ht="12.75">
      <c r="A7" s="152"/>
      <c r="B7" s="153"/>
      <c r="C7" s="153"/>
      <c r="D7" s="154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4"/>
      <c r="AN7" s="143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5"/>
      <c r="BD7" s="112"/>
      <c r="BE7" s="110"/>
      <c r="BF7" s="110"/>
      <c r="BG7" s="110"/>
      <c r="BH7" s="110"/>
      <c r="BI7" s="110"/>
      <c r="BJ7" s="110"/>
      <c r="BK7" s="110"/>
      <c r="BL7" s="110"/>
      <c r="BM7" s="111"/>
      <c r="BN7" s="143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5"/>
    </row>
    <row r="8" spans="1:80" ht="12.75">
      <c r="A8" s="152"/>
      <c r="B8" s="153"/>
      <c r="C8" s="153"/>
      <c r="D8" s="154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4"/>
      <c r="AN8" s="143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5"/>
      <c r="BD8" s="112"/>
      <c r="BE8" s="110"/>
      <c r="BF8" s="110"/>
      <c r="BG8" s="110"/>
      <c r="BH8" s="110"/>
      <c r="BI8" s="110"/>
      <c r="BJ8" s="110"/>
      <c r="BK8" s="110"/>
      <c r="BL8" s="110"/>
      <c r="BM8" s="111"/>
      <c r="BN8" s="143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</row>
    <row r="9" spans="1:80" ht="12.75">
      <c r="A9" s="152"/>
      <c r="B9" s="153"/>
      <c r="C9" s="153"/>
      <c r="D9" s="154"/>
      <c r="E9" s="112" t="s">
        <v>30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1"/>
      <c r="AN9" s="106" t="s">
        <v>31</v>
      </c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8"/>
      <c r="BD9" s="103" t="s">
        <v>31</v>
      </c>
      <c r="BE9" s="104"/>
      <c r="BF9" s="104"/>
      <c r="BG9" s="104"/>
      <c r="BH9" s="104"/>
      <c r="BI9" s="104"/>
      <c r="BJ9" s="104"/>
      <c r="BK9" s="104"/>
      <c r="BL9" s="104"/>
      <c r="BM9" s="105"/>
      <c r="BN9" s="143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5"/>
    </row>
    <row r="10" s="1" customFormat="1" ht="15.75"/>
    <row r="11" spans="1:80" s="5" customFormat="1" ht="15.75">
      <c r="A11" s="139" t="s">
        <v>129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</row>
    <row r="12" spans="1:80" s="8" customFormat="1" ht="9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3" spans="1:80" ht="12.75">
      <c r="A13" s="126" t="s">
        <v>5</v>
      </c>
      <c r="B13" s="127"/>
      <c r="C13" s="127"/>
      <c r="D13" s="128"/>
      <c r="E13" s="126" t="s">
        <v>33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8"/>
      <c r="BD13" s="126" t="s">
        <v>38</v>
      </c>
      <c r="BE13" s="127"/>
      <c r="BF13" s="127"/>
      <c r="BG13" s="127"/>
      <c r="BH13" s="127"/>
      <c r="BI13" s="127"/>
      <c r="BJ13" s="127"/>
      <c r="BK13" s="127"/>
      <c r="BL13" s="127"/>
      <c r="BM13" s="128"/>
      <c r="BN13" s="126" t="s">
        <v>105</v>
      </c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8"/>
    </row>
    <row r="14" spans="1:80" ht="12.75">
      <c r="A14" s="117" t="s">
        <v>6</v>
      </c>
      <c r="B14" s="118"/>
      <c r="C14" s="118"/>
      <c r="D14" s="119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9"/>
      <c r="BD14" s="117" t="s">
        <v>130</v>
      </c>
      <c r="BE14" s="118"/>
      <c r="BF14" s="118"/>
      <c r="BG14" s="118"/>
      <c r="BH14" s="118"/>
      <c r="BI14" s="118"/>
      <c r="BJ14" s="118"/>
      <c r="BK14" s="118"/>
      <c r="BL14" s="118"/>
      <c r="BM14" s="119"/>
      <c r="BN14" s="117" t="s">
        <v>131</v>
      </c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9"/>
    </row>
    <row r="15" spans="1:80" ht="12.75">
      <c r="A15" s="117"/>
      <c r="B15" s="118"/>
      <c r="C15" s="118"/>
      <c r="D15" s="119"/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2"/>
      <c r="BD15" s="117"/>
      <c r="BE15" s="118"/>
      <c r="BF15" s="118"/>
      <c r="BG15" s="118"/>
      <c r="BH15" s="118"/>
      <c r="BI15" s="118"/>
      <c r="BJ15" s="118"/>
      <c r="BK15" s="118"/>
      <c r="BL15" s="118"/>
      <c r="BM15" s="119"/>
      <c r="BN15" s="117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9"/>
    </row>
    <row r="16" spans="1:80" ht="12.75">
      <c r="A16" s="120">
        <v>1</v>
      </c>
      <c r="B16" s="121"/>
      <c r="C16" s="121"/>
      <c r="D16" s="122"/>
      <c r="E16" s="120">
        <v>2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0">
        <v>3</v>
      </c>
      <c r="BE16" s="121"/>
      <c r="BF16" s="121"/>
      <c r="BG16" s="121"/>
      <c r="BH16" s="121"/>
      <c r="BI16" s="121"/>
      <c r="BJ16" s="121"/>
      <c r="BK16" s="121"/>
      <c r="BL16" s="121"/>
      <c r="BM16" s="122"/>
      <c r="BN16" s="120">
        <v>4</v>
      </c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2"/>
    </row>
    <row r="17" spans="1:80" ht="12.75">
      <c r="A17" s="152"/>
      <c r="B17" s="153"/>
      <c r="C17" s="153"/>
      <c r="D17" s="154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112"/>
      <c r="BE17" s="110"/>
      <c r="BF17" s="110"/>
      <c r="BG17" s="110"/>
      <c r="BH17" s="110"/>
      <c r="BI17" s="110"/>
      <c r="BJ17" s="110"/>
      <c r="BK17" s="110"/>
      <c r="BL17" s="110"/>
      <c r="BM17" s="111"/>
      <c r="BN17" s="143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5"/>
    </row>
    <row r="18" spans="1:80" ht="12.75">
      <c r="A18" s="152"/>
      <c r="B18" s="153"/>
      <c r="C18" s="153"/>
      <c r="D18" s="154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6"/>
      <c r="BD18" s="112"/>
      <c r="BE18" s="110"/>
      <c r="BF18" s="110"/>
      <c r="BG18" s="110"/>
      <c r="BH18" s="110"/>
      <c r="BI18" s="110"/>
      <c r="BJ18" s="110"/>
      <c r="BK18" s="110"/>
      <c r="BL18" s="110"/>
      <c r="BM18" s="111"/>
      <c r="BN18" s="143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5"/>
    </row>
    <row r="19" spans="1:80" ht="12.75">
      <c r="A19" s="152"/>
      <c r="B19" s="153"/>
      <c r="C19" s="153"/>
      <c r="D19" s="154"/>
      <c r="E19" s="112" t="s">
        <v>30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1"/>
      <c r="BD19" s="103" t="s">
        <v>31</v>
      </c>
      <c r="BE19" s="104"/>
      <c r="BF19" s="104"/>
      <c r="BG19" s="104"/>
      <c r="BH19" s="104"/>
      <c r="BI19" s="104"/>
      <c r="BJ19" s="104"/>
      <c r="BK19" s="104"/>
      <c r="BL19" s="104"/>
      <c r="BM19" s="105"/>
      <c r="BN19" s="143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5"/>
    </row>
    <row r="20" s="1" customFormat="1" ht="15.75"/>
    <row r="21" spans="1:80" s="5" customFormat="1" ht="15.75">
      <c r="A21" s="139" t="s">
        <v>133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</row>
    <row r="22" spans="1:80" s="5" customFormat="1" ht="15.75">
      <c r="A22" s="139" t="s">
        <v>132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</row>
    <row r="23" spans="1:80" s="8" customFormat="1" ht="9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2.75">
      <c r="A24" s="126" t="s">
        <v>5</v>
      </c>
      <c r="B24" s="127"/>
      <c r="C24" s="127"/>
      <c r="D24" s="128"/>
      <c r="E24" s="126" t="s">
        <v>33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126" t="s">
        <v>38</v>
      </c>
      <c r="AT24" s="127"/>
      <c r="AU24" s="127"/>
      <c r="AV24" s="127"/>
      <c r="AW24" s="127"/>
      <c r="AX24" s="127"/>
      <c r="AY24" s="127"/>
      <c r="AZ24" s="127"/>
      <c r="BA24" s="127"/>
      <c r="BB24" s="128"/>
      <c r="BC24" s="126" t="s">
        <v>134</v>
      </c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126" t="s">
        <v>42</v>
      </c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8"/>
    </row>
    <row r="25" spans="1:80" ht="12.75">
      <c r="A25" s="117" t="s">
        <v>6</v>
      </c>
      <c r="B25" s="118"/>
      <c r="C25" s="118"/>
      <c r="D25" s="119"/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17"/>
      <c r="AT25" s="118"/>
      <c r="AU25" s="118"/>
      <c r="AV25" s="118"/>
      <c r="AW25" s="118"/>
      <c r="AX25" s="118"/>
      <c r="AY25" s="118"/>
      <c r="AZ25" s="118"/>
      <c r="BA25" s="118"/>
      <c r="BB25" s="119"/>
      <c r="BC25" s="117" t="s">
        <v>135</v>
      </c>
      <c r="BD25" s="118"/>
      <c r="BE25" s="118"/>
      <c r="BF25" s="118"/>
      <c r="BG25" s="118"/>
      <c r="BH25" s="118"/>
      <c r="BI25" s="118"/>
      <c r="BJ25" s="118"/>
      <c r="BK25" s="118"/>
      <c r="BL25" s="118"/>
      <c r="BM25" s="119"/>
      <c r="BN25" s="117" t="s">
        <v>149</v>
      </c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9"/>
    </row>
    <row r="26" spans="1:80" ht="12.75">
      <c r="A26" s="117"/>
      <c r="B26" s="118"/>
      <c r="C26" s="118"/>
      <c r="D26" s="119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9"/>
      <c r="AS26" s="117"/>
      <c r="AT26" s="118"/>
      <c r="AU26" s="118"/>
      <c r="AV26" s="118"/>
      <c r="AW26" s="118"/>
      <c r="AX26" s="118"/>
      <c r="AY26" s="118"/>
      <c r="AZ26" s="118"/>
      <c r="BA26" s="118"/>
      <c r="BB26" s="119"/>
      <c r="BC26" s="117" t="s">
        <v>37</v>
      </c>
      <c r="BD26" s="118"/>
      <c r="BE26" s="118"/>
      <c r="BF26" s="118"/>
      <c r="BG26" s="118"/>
      <c r="BH26" s="118"/>
      <c r="BI26" s="118"/>
      <c r="BJ26" s="118"/>
      <c r="BK26" s="118"/>
      <c r="BL26" s="118"/>
      <c r="BM26" s="119"/>
      <c r="BN26" s="117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9"/>
    </row>
    <row r="27" spans="1:80" ht="12.75">
      <c r="A27" s="120"/>
      <c r="B27" s="121"/>
      <c r="C27" s="121"/>
      <c r="D27" s="122"/>
      <c r="E27" s="120">
        <v>1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2"/>
      <c r="AS27" s="120">
        <v>2</v>
      </c>
      <c r="AT27" s="121"/>
      <c r="AU27" s="121"/>
      <c r="AV27" s="121"/>
      <c r="AW27" s="121"/>
      <c r="AX27" s="121"/>
      <c r="AY27" s="121"/>
      <c r="AZ27" s="121"/>
      <c r="BA27" s="121"/>
      <c r="BB27" s="122"/>
      <c r="BC27" s="120">
        <v>3</v>
      </c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N27" s="120">
        <v>4</v>
      </c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2"/>
    </row>
    <row r="28" spans="1:80" ht="12.75">
      <c r="A28" s="152"/>
      <c r="B28" s="153"/>
      <c r="C28" s="153"/>
      <c r="D28" s="154"/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4"/>
      <c r="AS28" s="143"/>
      <c r="AT28" s="144"/>
      <c r="AU28" s="144"/>
      <c r="AV28" s="144"/>
      <c r="AW28" s="144"/>
      <c r="AX28" s="144"/>
      <c r="AY28" s="144"/>
      <c r="AZ28" s="144"/>
      <c r="BA28" s="144"/>
      <c r="BB28" s="145"/>
      <c r="BC28" s="199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43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5"/>
    </row>
    <row r="29" spans="1:80" ht="12.75">
      <c r="A29" s="152"/>
      <c r="B29" s="153"/>
      <c r="C29" s="153"/>
      <c r="D29" s="154"/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4"/>
      <c r="AS29" s="143"/>
      <c r="AT29" s="144"/>
      <c r="AU29" s="144"/>
      <c r="AV29" s="144"/>
      <c r="AW29" s="144"/>
      <c r="AX29" s="144"/>
      <c r="AY29" s="144"/>
      <c r="AZ29" s="144"/>
      <c r="BA29" s="144"/>
      <c r="BB29" s="145"/>
      <c r="BC29" s="112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143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5"/>
    </row>
    <row r="30" spans="1:80" ht="12.75">
      <c r="A30" s="152"/>
      <c r="B30" s="153"/>
      <c r="C30" s="153"/>
      <c r="D30" s="154"/>
      <c r="E30" s="112" t="s">
        <v>30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1"/>
      <c r="AS30" s="106" t="s">
        <v>31</v>
      </c>
      <c r="AT30" s="107"/>
      <c r="AU30" s="107"/>
      <c r="AV30" s="107"/>
      <c r="AW30" s="107"/>
      <c r="AX30" s="107"/>
      <c r="AY30" s="107"/>
      <c r="AZ30" s="107"/>
      <c r="BA30" s="107"/>
      <c r="BB30" s="108"/>
      <c r="BC30" s="103" t="s">
        <v>31</v>
      </c>
      <c r="BD30" s="104"/>
      <c r="BE30" s="104"/>
      <c r="BF30" s="104"/>
      <c r="BG30" s="104"/>
      <c r="BH30" s="104"/>
      <c r="BI30" s="104"/>
      <c r="BJ30" s="104"/>
      <c r="BK30" s="104"/>
      <c r="BL30" s="104"/>
      <c r="BM30" s="105"/>
      <c r="BN30" s="143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5"/>
    </row>
  </sheetData>
  <sheetProtection/>
  <mergeCells count="102">
    <mergeCell ref="A1:CB1"/>
    <mergeCell ref="A14:D14"/>
    <mergeCell ref="BD14:BM14"/>
    <mergeCell ref="BN14:CB14"/>
    <mergeCell ref="A13:D13"/>
    <mergeCell ref="BD13:BM13"/>
    <mergeCell ref="BN13:CB13"/>
    <mergeCell ref="A3:D3"/>
    <mergeCell ref="E3:AM3"/>
    <mergeCell ref="AN3:BC3"/>
    <mergeCell ref="BN16:CB16"/>
    <mergeCell ref="A15:D15"/>
    <mergeCell ref="BD15:BM15"/>
    <mergeCell ref="BN15:CB15"/>
    <mergeCell ref="A17:D17"/>
    <mergeCell ref="BD17:BM17"/>
    <mergeCell ref="BN17:CB17"/>
    <mergeCell ref="A25:D25"/>
    <mergeCell ref="E25:AR25"/>
    <mergeCell ref="A19:D19"/>
    <mergeCell ref="BD19:BM19"/>
    <mergeCell ref="A16:D16"/>
    <mergeCell ref="BD16:BM16"/>
    <mergeCell ref="A18:D18"/>
    <mergeCell ref="BD18:BM18"/>
    <mergeCell ref="A21:CB21"/>
    <mergeCell ref="AS24:BB24"/>
    <mergeCell ref="E28:AR28"/>
    <mergeCell ref="AS28:BB28"/>
    <mergeCell ref="BC28:BM28"/>
    <mergeCell ref="BN28:CB28"/>
    <mergeCell ref="A29:D29"/>
    <mergeCell ref="A26:D26"/>
    <mergeCell ref="E26:AR26"/>
    <mergeCell ref="A27:D27"/>
    <mergeCell ref="E27:AR27"/>
    <mergeCell ref="BC27:BM27"/>
    <mergeCell ref="BD6:BM6"/>
    <mergeCell ref="BN6:CB6"/>
    <mergeCell ref="BD3:BM3"/>
    <mergeCell ref="BN3:CB3"/>
    <mergeCell ref="A4:D4"/>
    <mergeCell ref="E4:AM4"/>
    <mergeCell ref="AN4:BC4"/>
    <mergeCell ref="BD4:BM4"/>
    <mergeCell ref="BN4:CB4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N9:CB9"/>
    <mergeCell ref="A11:CB11"/>
    <mergeCell ref="A7:D7"/>
    <mergeCell ref="E7:AM7"/>
    <mergeCell ref="AN7:BC7"/>
    <mergeCell ref="BD7:BM7"/>
    <mergeCell ref="BN7:CB7"/>
    <mergeCell ref="A8:D8"/>
    <mergeCell ref="E8:AM8"/>
    <mergeCell ref="AN8:BC8"/>
    <mergeCell ref="E18:BC18"/>
    <mergeCell ref="E19:BC19"/>
    <mergeCell ref="A9:D9"/>
    <mergeCell ref="E9:AM9"/>
    <mergeCell ref="AN9:BC9"/>
    <mergeCell ref="BD9:BM9"/>
    <mergeCell ref="BC25:BM25"/>
    <mergeCell ref="BN25:CB25"/>
    <mergeCell ref="AS27:BB27"/>
    <mergeCell ref="BN18:CB18"/>
    <mergeCell ref="BN19:CB19"/>
    <mergeCell ref="E13:BC13"/>
    <mergeCell ref="E14:BC14"/>
    <mergeCell ref="E15:BC15"/>
    <mergeCell ref="E16:BC16"/>
    <mergeCell ref="E17:BC17"/>
    <mergeCell ref="A30:D30"/>
    <mergeCell ref="E30:AR30"/>
    <mergeCell ref="AS30:BB30"/>
    <mergeCell ref="BC30:BM30"/>
    <mergeCell ref="BN30:CB30"/>
    <mergeCell ref="BC24:BM24"/>
    <mergeCell ref="BN24:CB24"/>
    <mergeCell ref="A24:D24"/>
    <mergeCell ref="E24:AR24"/>
    <mergeCell ref="BC29:BM29"/>
    <mergeCell ref="BN27:CB27"/>
    <mergeCell ref="E29:AR29"/>
    <mergeCell ref="AS29:BB29"/>
    <mergeCell ref="A22:CB22"/>
    <mergeCell ref="AS26:BB26"/>
    <mergeCell ref="BC26:BM26"/>
    <mergeCell ref="BN26:CB26"/>
    <mergeCell ref="A28:D28"/>
    <mergeCell ref="BN29:CB29"/>
    <mergeCell ref="AS25:BB2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centr</cp:lastModifiedBy>
  <cp:lastPrinted>2018-11-15T12:09:00Z</cp:lastPrinted>
  <dcterms:created xsi:type="dcterms:W3CDTF">2004-09-19T06:34:55Z</dcterms:created>
  <dcterms:modified xsi:type="dcterms:W3CDTF">2018-11-15T12:09:04Z</dcterms:modified>
  <cp:category/>
  <cp:version/>
  <cp:contentType/>
  <cp:contentStatus/>
</cp:coreProperties>
</file>